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330"/>
  <workbookPr date1904="1" codeName="ThisWorkbook"/>
  <mc:AlternateContent xmlns:mc="http://schemas.openxmlformats.org/markup-compatibility/2006">
    <mc:Choice Requires="x15">
      <x15ac:absPath xmlns:x15ac="http://schemas.microsoft.com/office/spreadsheetml/2010/11/ac" url="https://thecsu-my.sharepoint.com/personal/msmith_calstate_edu/Documents/Desktop/"/>
    </mc:Choice>
  </mc:AlternateContent>
  <xr:revisionPtr revIDLastSave="130" documentId="8_{23980499-7861-4872-A148-234C1C46137E}" xr6:coauthVersionLast="47" xr6:coauthVersionMax="47" xr10:uidLastSave="{269F7DF4-433F-4763-9AFD-88ECE5EB4E3A}"/>
  <bookViews>
    <workbookView xWindow="9225" yWindow="750" windowWidth="26025" windowHeight="14805" tabRatio="900" activeTab="8" xr2:uid="{00000000-000D-0000-FFFF-FFFF00000000}"/>
  </bookViews>
  <sheets>
    <sheet name="2-7" sheetId="1" r:id="rId1"/>
    <sheet name="USER INPUT" sheetId="7" r:id="rId2"/>
    <sheet name="Insurance (DBB)" sheetId="16" state="hidden" r:id="rId3"/>
    <sheet name="Insurance (DB)" sheetId="17" state="hidden" r:id="rId4"/>
    <sheet name="Insurance (Collaborative DB)" sheetId="20" state="hidden" r:id="rId5"/>
    <sheet name="Insurance (CM@R)" sheetId="18" state="hidden" r:id="rId6"/>
    <sheet name="INSURANCE" sheetId="5" state="hidden" r:id="rId7"/>
    <sheet name="2-8 SITE UTILITIES" sheetId="15" state="hidden" r:id="rId8"/>
    <sheet name="Financial" sheetId="21" r:id="rId9"/>
    <sheet name="Legal Fees" sheetId="22" r:id="rId10"/>
    <sheet name="FEE CALCS" sheetId="9" r:id="rId11"/>
    <sheet name="REFERENCE" sheetId="8" r:id="rId12"/>
    <sheet name="LEED v3" sheetId="14" state="hidden" r:id="rId13"/>
    <sheet name="INSTRUCTIONS" sheetId="10" r:id="rId14"/>
  </sheets>
  <externalReferences>
    <externalReference r:id="rId15"/>
  </externalReferences>
  <definedNames>
    <definedName name="_2013_14">'2-7'!$S$86</definedName>
    <definedName name="Architectural.Schedule.Types">'2-7'!$A$85:$G$160</definedName>
    <definedName name="Campus_list">REFERENCE!$N$3:$N$27</definedName>
    <definedName name="Campus_Stats">REFERENCE!$BB$4:$BF$27</definedName>
    <definedName name="CCCI_2010">REFERENCE!$F$21:$K$51</definedName>
    <definedName name="CCCI_historic">REFERENCE!$F$21:$F$54</definedName>
    <definedName name="CCCId.NonState.Funded.Additional.Services">'2-7'!$AM$1:$AW$6</definedName>
    <definedName name="CCCId.State.Funded.Additional.Services">'2-7'!$AB$1:$AL$82</definedName>
    <definedName name="Contract_Fees">REFERENCE!$T$32:$X$42</definedName>
    <definedName name="Contractor_Fees">REFERENCE!$U$32:$V$42</definedName>
    <definedName name="CONTRACTOR_FEES_NC">REFERENCE!$U$32:$V$42</definedName>
    <definedName name="CSU_CAMPUSES">REFERENCE!$N$4:$Q$27</definedName>
    <definedName name="DELIVERY">REFERENCE!$B$29:$B$32</definedName>
    <definedName name="DELIVERY_FEES_NC">REFERENCE!$S$33:$X$42</definedName>
    <definedName name="DELIVERY_METHOD">REFERENCE!$B$27:$B$32</definedName>
    <definedName name="Delivery_NC">REFERENCE!$S$32:$X$41</definedName>
    <definedName name="DELIVERY_TYPES">REFERENCE!$B$26:$B$32</definedName>
    <definedName name="DELIVERYFEES_NC">REFERENCE!$U$32:$X$42</definedName>
    <definedName name="DMETHODFEES_NC">REFERENCE!$U$33:$X$42</definedName>
    <definedName name="Energy_Usage">REFERENCE!$N$4:$W$27</definedName>
    <definedName name="Energy_Use">REFERENCE!$S$4:$W$27</definedName>
    <definedName name="FEES_Method">REFERENCE!$T$32:$X$54</definedName>
    <definedName name="FISCAL_YEAR">REFERENCE!$F$40:$F$51</definedName>
    <definedName name="Form.2.7">'2-7'!$A$1:$AA$87</definedName>
    <definedName name="FUND">REFERENCE!$B$35:$B$37</definedName>
    <definedName name="FUND_TYPE">REFERENCE!$B$34:$B$37</definedName>
    <definedName name="FUNDTYPE">REFERENCE!$B$35:$B$38</definedName>
    <definedName name="FY_2010">REFERENCE!$F$21:$F$51</definedName>
    <definedName name="HEAT_TYPES">REFERENCE!$AN$3:$AN$6</definedName>
    <definedName name="method_NC">REFERENCE!$T$32:$X$42</definedName>
    <definedName name="MILESTONE_PHASE">REFERENCE!$B$12:$B$24</definedName>
    <definedName name="MILESTONE_PHASES">REFERENCE!$B$11:$B$19</definedName>
    <definedName name="MILESTONEPHASES">REFERENCE!$B$12:$B$24</definedName>
    <definedName name="Milestones" comment="Master List for MILESTONE PHASES">REFERENCE!$B$12:$B$19</definedName>
    <definedName name="PHASES">REFERENCE!$B$12:$B$19</definedName>
    <definedName name="_xlnm.Print_Area" localSheetId="0">'2-7'!$A$1:$BS$82</definedName>
    <definedName name="_xlnm.Print_Area" localSheetId="7">'2-8 SITE UTILITIES'!$A$1:$N$194</definedName>
    <definedName name="_xlnm.Print_Area" localSheetId="10">'FEE CALCS'!$A$1:$Y$99</definedName>
    <definedName name="_xlnm.Print_Area" localSheetId="13">INSTRUCTIONS!$A$1:$E$84</definedName>
    <definedName name="_xlnm.Print_Area" localSheetId="6">INSURANCE!$A$1:$H$49</definedName>
    <definedName name="_xlnm.Print_Area" localSheetId="5">'Insurance (CM@R)'!$A$1:$I$58</definedName>
    <definedName name="_xlnm.Print_Area" localSheetId="4">'Insurance (Collaborative DB)'!$A$1:$I$58</definedName>
    <definedName name="_xlnm.Print_Area" localSheetId="3">'Insurance (DB)'!$A$1:$I$58</definedName>
    <definedName name="_xlnm.Print_Area" localSheetId="2">'Insurance (DBB)'!$A$1:$I$58</definedName>
    <definedName name="_xlnm.Print_Area" localSheetId="12">'LEED v3'!$A$1:$H$151</definedName>
    <definedName name="_xlnm.Print_Area" localSheetId="11">REFERENCE!$K$105:$Z$129</definedName>
    <definedName name="PROJ_TYPE">REFERENCE!$B$42:$B$45</definedName>
    <definedName name="PROJECT_TYPES">REFERENCE!$B$2:$B$8</definedName>
    <definedName name="SITE_UTILITY_PHASES" localSheetId="7">REFERENCE!$AJ$3:$AJ$6</definedName>
    <definedName name="SIte_utility_Phases">REFERENCE!$AJ$3:$AL$6</definedName>
    <definedName name="SPACE_TYPE" comment="Used in USER INPUT Space type DROPDOWN selection">REFERENCE!$Z$4:$Z$53</definedName>
    <definedName name="SPACE_TYPE_DATA" comment="Used in USER INPUT vlookup calculations">REFERENCE!$Z$5:$AH$53</definedName>
    <definedName name="SPACE_TYPE_UNIT" comment="Used for USER INPUT Space type selection DROPDOWN">REFERENCE!$Z$56:$Z$61</definedName>
    <definedName name="SPACE_TYPE_UNIT_DATA" comment="Used for vlookup in USER INPUT tab for space type Unit calculations">REFERENCE!$Z$57:$AH$61</definedName>
    <definedName name="spcl_consult">REFERENCE!$N$32:$P$42</definedName>
    <definedName name="SPECIALTY_CONSULTANT">REFERENCE!$N$32:$N$42</definedName>
    <definedName name="Specialty_Consultant_Perc">REFERENCE!$N$33:$Q$42</definedName>
    <definedName name="Specialty_Consultant_Percent">REFERENCE!$N$33:$Q$42</definedName>
    <definedName name="Specialty_Consultant_Percentage">REFERENCE!$N$33:$P$42</definedName>
    <definedName name="Util_AQMD">REFERENCE!$AJ$54:$AJ$64</definedName>
    <definedName name="Util_Cable_Medium">REFERENCE!$AN$9:$AN$12</definedName>
    <definedName name="UTIL_ELEC">REFERENCE!$AJ$9:$AJ$16</definedName>
    <definedName name="Util_Elec_Equip">REFERENCE!$AS$4:$AZ$8</definedName>
    <definedName name="UTIL_GAS">REFERENCE!$AJ$19:$AJ$23</definedName>
    <definedName name="Util_Sewer">REFERENCE!$AJ$83:$AJ$97</definedName>
    <definedName name="Util_Storm">REFERENCE!$AJ$67:$AJ$80</definedName>
    <definedName name="Util_Water">REFERENCE!$AJ$26:$AJ$48</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21" i="1" l="1"/>
  <c r="S21" i="1"/>
  <c r="Q21" i="1"/>
  <c r="U21" i="1"/>
  <c r="K13" i="21"/>
  <c r="J13" i="21"/>
  <c r="S22" i="1" s="1"/>
  <c r="I13" i="21"/>
  <c r="Q22" i="1" s="1"/>
  <c r="H13" i="21"/>
  <c r="O22" i="1" s="1"/>
  <c r="U22" i="1" l="1"/>
  <c r="BQ30" i="1" l="1"/>
  <c r="BF30" i="1"/>
  <c r="AU30" i="1"/>
  <c r="AJ30" i="1"/>
  <c r="V93" i="9" l="1"/>
  <c r="AE93" i="9"/>
  <c r="AD93" i="9"/>
  <c r="W93" i="9"/>
  <c r="O93" i="9"/>
  <c r="N93" i="9"/>
  <c r="N57" i="9"/>
  <c r="AD75" i="9"/>
  <c r="AD57" i="9"/>
  <c r="V75" i="9"/>
  <c r="BM32" i="1" l="1"/>
  <c r="BB32" i="1"/>
  <c r="AQ32" i="1"/>
  <c r="AF32" i="1"/>
  <c r="AI75" i="1"/>
  <c r="AJ75" i="1"/>
  <c r="AK75" i="1"/>
  <c r="AH75" i="1"/>
  <c r="AF71" i="1"/>
  <c r="AF72" i="1"/>
  <c r="AF73" i="1"/>
  <c r="AF74" i="1"/>
  <c r="AF70" i="1"/>
  <c r="BR5" i="1"/>
  <c r="BG5" i="1"/>
  <c r="BJ5" i="1"/>
  <c r="AY5" i="1"/>
  <c r="BR6" i="1"/>
  <c r="BG6" i="1"/>
  <c r="BJ6" i="1"/>
  <c r="AY6" i="1"/>
  <c r="AF75" i="1" l="1"/>
  <c r="O23" i="1" s="1"/>
  <c r="U51" i="1"/>
  <c r="S51" i="1"/>
  <c r="Q51" i="1"/>
  <c r="O51" i="1"/>
  <c r="U42" i="1"/>
  <c r="S42" i="1"/>
  <c r="Q42" i="1"/>
  <c r="O42" i="1"/>
  <c r="U26" i="1"/>
  <c r="O26" i="1"/>
  <c r="Q26" i="1"/>
  <c r="S26" i="1"/>
  <c r="U24" i="1" l="1"/>
  <c r="U76" i="1" s="1"/>
  <c r="S24" i="1"/>
  <c r="S76" i="1" s="1"/>
  <c r="Q24" i="1"/>
  <c r="Q76" i="1" s="1"/>
  <c r="O24" i="1"/>
  <c r="O76" i="1" s="1"/>
  <c r="C39" i="1"/>
  <c r="V57" i="9" l="1"/>
  <c r="Z92" i="9" l="1"/>
  <c r="R92" i="9"/>
  <c r="O89" i="9"/>
  <c r="N75" i="9"/>
  <c r="J92" i="9"/>
  <c r="Z94" i="9" l="1"/>
  <c r="AE92" i="9"/>
  <c r="AD92" i="9"/>
  <c r="Z56" i="9"/>
  <c r="Z74" i="9"/>
  <c r="Z38" i="9"/>
  <c r="Z40" i="9" s="1"/>
  <c r="V92" i="9"/>
  <c r="R94" i="9"/>
  <c r="W92" i="9"/>
  <c r="R56" i="9"/>
  <c r="R74" i="9"/>
  <c r="R38" i="9"/>
  <c r="R40" i="9" s="1"/>
  <c r="N92" i="9"/>
  <c r="O92" i="9"/>
  <c r="J94" i="9"/>
  <c r="J74" i="9"/>
  <c r="J38" i="9"/>
  <c r="J40" i="9" s="1"/>
  <c r="J56" i="9"/>
  <c r="AD56" i="9" l="1"/>
  <c r="Z58" i="9"/>
  <c r="AD74" i="9"/>
  <c r="Z76" i="9"/>
  <c r="V56" i="9"/>
  <c r="R58" i="9"/>
  <c r="V74" i="9"/>
  <c r="R76" i="9"/>
  <c r="N56" i="9"/>
  <c r="J58" i="9"/>
  <c r="N74" i="9"/>
  <c r="J76" i="9"/>
  <c r="Z77" i="9" l="1"/>
  <c r="R77" i="9"/>
  <c r="J77" i="9"/>
  <c r="S6" i="1" l="1"/>
  <c r="S7" i="1" s="1"/>
  <c r="S8" i="1" s="1"/>
  <c r="S9" i="1" s="1"/>
  <c r="S10" i="1" s="1"/>
  <c r="S11" i="1" s="1"/>
  <c r="S12" i="1" s="1"/>
  <c r="O34" i="1"/>
  <c r="O36" i="1" s="1"/>
  <c r="AH41" i="1" s="1"/>
  <c r="Q34" i="1"/>
  <c r="Q36" i="1" s="1"/>
  <c r="S34" i="1"/>
  <c r="S36" i="1" s="1"/>
  <c r="U34" i="1"/>
  <c r="U36" i="1" s="1"/>
  <c r="W35" i="1"/>
  <c r="X35" i="1" s="1"/>
  <c r="W24" i="1"/>
  <c r="W23" i="1"/>
  <c r="Z57" i="1" s="1"/>
  <c r="W22" i="1"/>
  <c r="W21" i="1"/>
  <c r="W20" i="1"/>
  <c r="W19" i="1"/>
  <c r="W18" i="1"/>
  <c r="BP67" i="1"/>
  <c r="BM64" i="1"/>
  <c r="BM63" i="1"/>
  <c r="BM62" i="1"/>
  <c r="BM61" i="1"/>
  <c r="BM60" i="1"/>
  <c r="BM59" i="1"/>
  <c r="BM58" i="1"/>
  <c r="BM55" i="1"/>
  <c r="BM54" i="1"/>
  <c r="BM53" i="1"/>
  <c r="BM52" i="1"/>
  <c r="BM46" i="1"/>
  <c r="BM43" i="1"/>
  <c r="BM42" i="1"/>
  <c r="AQ37" i="1"/>
  <c r="BO41" i="1"/>
  <c r="BM41" i="1" s="1"/>
  <c r="BM40" i="1"/>
  <c r="BM39" i="1"/>
  <c r="BM38" i="1"/>
  <c r="BM37" i="1"/>
  <c r="BM36" i="1"/>
  <c r="BR23" i="1"/>
  <c r="BQ23" i="1"/>
  <c r="BO23" i="1"/>
  <c r="BR22" i="1"/>
  <c r="BQ22" i="1"/>
  <c r="BO22" i="1"/>
  <c r="BR21" i="1"/>
  <c r="BQ21" i="1"/>
  <c r="BO21" i="1"/>
  <c r="BR20" i="1"/>
  <c r="BQ20" i="1"/>
  <c r="BO20" i="1"/>
  <c r="BR19" i="1"/>
  <c r="BQ19" i="1"/>
  <c r="BO19" i="1"/>
  <c r="BJ14" i="1"/>
  <c r="BJ13" i="1"/>
  <c r="BJ12" i="1"/>
  <c r="BQ11" i="1"/>
  <c r="BO11" i="1"/>
  <c r="BE67" i="1"/>
  <c r="BB64" i="1"/>
  <c r="BB63" i="1"/>
  <c r="BB62" i="1"/>
  <c r="BB61" i="1"/>
  <c r="BB60" i="1"/>
  <c r="BB59" i="1"/>
  <c r="BB58" i="1"/>
  <c r="BB55" i="1"/>
  <c r="BB54" i="1"/>
  <c r="BB53" i="1"/>
  <c r="BB52" i="1"/>
  <c r="BB46" i="1"/>
  <c r="BB43" i="1"/>
  <c r="BB42" i="1"/>
  <c r="AF37" i="1"/>
  <c r="BD41" i="1" s="1"/>
  <c r="BB41" i="1" s="1"/>
  <c r="BB40" i="1"/>
  <c r="BB39" i="1"/>
  <c r="BB38" i="1"/>
  <c r="BB37" i="1"/>
  <c r="BB36" i="1"/>
  <c r="BG23" i="1"/>
  <c r="BF23" i="1"/>
  <c r="BD23" i="1"/>
  <c r="BG22" i="1"/>
  <c r="BF22" i="1"/>
  <c r="BD22" i="1"/>
  <c r="BG21" i="1"/>
  <c r="BF21" i="1"/>
  <c r="BD21" i="1"/>
  <c r="BG20" i="1"/>
  <c r="BF20" i="1"/>
  <c r="BD20" i="1"/>
  <c r="BG19" i="1"/>
  <c r="BF19" i="1"/>
  <c r="BD19" i="1"/>
  <c r="AY14" i="1"/>
  <c r="AY13" i="1"/>
  <c r="AY12" i="1"/>
  <c r="BF11" i="1"/>
  <c r="BD11" i="1"/>
  <c r="U81" i="1"/>
  <c r="S81" i="1"/>
  <c r="Q81" i="1"/>
  <c r="T40" i="1"/>
  <c r="B40" i="1"/>
  <c r="T14" i="1"/>
  <c r="W86" i="1"/>
  <c r="W87" i="1" s="1"/>
  <c r="U86" i="1"/>
  <c r="U87" i="1" s="1"/>
  <c r="K53" i="8"/>
  <c r="K54" i="8"/>
  <c r="I53" i="8"/>
  <c r="I54" i="8"/>
  <c r="C65" i="1"/>
  <c r="AK87" i="10"/>
  <c r="AK90" i="10"/>
  <c r="A7" i="14"/>
  <c r="B7" i="14"/>
  <c r="C7" i="14"/>
  <c r="A29" i="14"/>
  <c r="B29" i="14"/>
  <c r="C29" i="14"/>
  <c r="A40" i="14"/>
  <c r="C40" i="14"/>
  <c r="C150" i="14" s="1"/>
  <c r="B45" i="14"/>
  <c r="B65" i="14"/>
  <c r="B40" i="14" s="1"/>
  <c r="B150" i="14" s="1"/>
  <c r="A81" i="14"/>
  <c r="C81" i="14"/>
  <c r="B84" i="14"/>
  <c r="B81" i="14"/>
  <c r="A104" i="14"/>
  <c r="A150" i="14" s="1"/>
  <c r="C104" i="14"/>
  <c r="B113" i="14"/>
  <c r="B104" i="14"/>
  <c r="A131" i="14"/>
  <c r="B131" i="14"/>
  <c r="C131" i="14"/>
  <c r="A141" i="14"/>
  <c r="B141" i="14"/>
  <c r="C141" i="14"/>
  <c r="C151" i="14"/>
  <c r="AA1" i="8"/>
  <c r="AB1" i="8" s="1"/>
  <c r="AC1" i="8" s="1"/>
  <c r="AD1" i="8" s="1"/>
  <c r="AE1" i="8" s="1"/>
  <c r="AF1" i="8" s="1"/>
  <c r="AG1" i="8" s="1"/>
  <c r="AH1" i="8" s="1"/>
  <c r="AT1" i="8"/>
  <c r="AU1" i="8"/>
  <c r="AV1" i="8" s="1"/>
  <c r="AW1" i="8" s="1"/>
  <c r="AX1" i="8" s="1"/>
  <c r="AY1" i="8" s="1"/>
  <c r="AZ1" i="8" s="1"/>
  <c r="BC1" i="8"/>
  <c r="BD1" i="8" s="1"/>
  <c r="BE1" i="8" s="1"/>
  <c r="BF1" i="8" s="1"/>
  <c r="AB5" i="8"/>
  <c r="AD6" i="8"/>
  <c r="AS6" i="8"/>
  <c r="AD7" i="8"/>
  <c r="AS7" i="8"/>
  <c r="AD8" i="8"/>
  <c r="AS8" i="8"/>
  <c r="AB9" i="8"/>
  <c r="AD10" i="8"/>
  <c r="AB11" i="8"/>
  <c r="AB12" i="8"/>
  <c r="AD13" i="8"/>
  <c r="AB14" i="8"/>
  <c r="I15" i="8"/>
  <c r="J15" i="8" s="1"/>
  <c r="AB15" i="8"/>
  <c r="AD16" i="8"/>
  <c r="AD17" i="8"/>
  <c r="AB18" i="8"/>
  <c r="AD19" i="8"/>
  <c r="AB20" i="8"/>
  <c r="AB21" i="8"/>
  <c r="I22" i="8"/>
  <c r="K22" i="8"/>
  <c r="AB22" i="8"/>
  <c r="I23" i="8"/>
  <c r="K23" i="8"/>
  <c r="AB23" i="8"/>
  <c r="I24" i="8"/>
  <c r="K24" i="8"/>
  <c r="AB24" i="8"/>
  <c r="I25" i="8"/>
  <c r="K25" i="8"/>
  <c r="AB25" i="8"/>
  <c r="I26" i="8"/>
  <c r="K26" i="8"/>
  <c r="AD26" i="8"/>
  <c r="I27" i="8"/>
  <c r="K27" i="8"/>
  <c r="AB27" i="8"/>
  <c r="I28" i="8"/>
  <c r="K28" i="8"/>
  <c r="AD28" i="8"/>
  <c r="I29" i="8"/>
  <c r="K29" i="8"/>
  <c r="AB29" i="8"/>
  <c r="I30" i="8"/>
  <c r="K30" i="8"/>
  <c r="AB30" i="8"/>
  <c r="I31" i="8"/>
  <c r="K31" i="8"/>
  <c r="AB31" i="8"/>
  <c r="I32" i="8"/>
  <c r="K32" i="8"/>
  <c r="T32" i="8"/>
  <c r="U32" i="8"/>
  <c r="V32" i="8"/>
  <c r="V60" i="8" s="1"/>
  <c r="W32" i="8"/>
  <c r="W59" i="8" s="1"/>
  <c r="X32" i="8"/>
  <c r="X59" i="8" s="1"/>
  <c r="AD32" i="8"/>
  <c r="I33" i="8"/>
  <c r="K33" i="8"/>
  <c r="R33" i="8"/>
  <c r="R34" i="8" s="1"/>
  <c r="R35" i="8" s="1"/>
  <c r="R36" i="8" s="1"/>
  <c r="R37" i="8" s="1"/>
  <c r="R38" i="8" s="1"/>
  <c r="R39" i="8" s="1"/>
  <c r="R40" i="8" s="1"/>
  <c r="R41" i="8" s="1"/>
  <c r="R42" i="8" s="1"/>
  <c r="R43" i="8" s="1"/>
  <c r="R44" i="8" s="1"/>
  <c r="R45" i="8" s="1"/>
  <c r="R46" i="8" s="1"/>
  <c r="R47" i="8" s="1"/>
  <c r="R48" i="8" s="1"/>
  <c r="T33" i="8"/>
  <c r="W33" i="8"/>
  <c r="AB33" i="8"/>
  <c r="I34" i="8"/>
  <c r="K34" i="8"/>
  <c r="T34" i="8"/>
  <c r="W34" i="8"/>
  <c r="G89" i="9" s="1"/>
  <c r="AB34" i="8"/>
  <c r="I35" i="8"/>
  <c r="K35" i="8"/>
  <c r="T35" i="8"/>
  <c r="W35" i="8"/>
  <c r="AB35" i="8"/>
  <c r="I36" i="8"/>
  <c r="K36" i="8"/>
  <c r="T36" i="8"/>
  <c r="W36" i="8"/>
  <c r="AD36" i="8"/>
  <c r="I37" i="8"/>
  <c r="K37" i="8"/>
  <c r="W37" i="8"/>
  <c r="AD37" i="8"/>
  <c r="I38" i="8"/>
  <c r="K38" i="8"/>
  <c r="W38" i="8"/>
  <c r="AB38" i="8"/>
  <c r="I39" i="8"/>
  <c r="K39" i="8"/>
  <c r="W39" i="8"/>
  <c r="AB39" i="8"/>
  <c r="I40" i="8"/>
  <c r="K40" i="8"/>
  <c r="AB40" i="8"/>
  <c r="I41" i="8"/>
  <c r="K41" i="8"/>
  <c r="T41" i="8"/>
  <c r="U41" i="8"/>
  <c r="V41" i="8"/>
  <c r="W41" i="8"/>
  <c r="X41" i="8"/>
  <c r="AB41" i="8"/>
  <c r="I42" i="8"/>
  <c r="K42" i="8"/>
  <c r="AB42" i="8"/>
  <c r="I43" i="8"/>
  <c r="K43" i="8"/>
  <c r="AB43" i="8"/>
  <c r="I44" i="8"/>
  <c r="K44" i="8"/>
  <c r="AB44" i="8"/>
  <c r="I45" i="8"/>
  <c r="K45" i="8"/>
  <c r="AD45" i="8"/>
  <c r="I46" i="8"/>
  <c r="K46" i="8"/>
  <c r="AD46" i="8"/>
  <c r="I47" i="8"/>
  <c r="K47" i="8"/>
  <c r="AB47" i="8"/>
  <c r="I48" i="8"/>
  <c r="K48" i="8"/>
  <c r="AD48" i="8"/>
  <c r="I49" i="8"/>
  <c r="K49" i="8"/>
  <c r="I50" i="8"/>
  <c r="K50" i="8"/>
  <c r="I51" i="8"/>
  <c r="K51" i="8"/>
  <c r="AB51" i="8"/>
  <c r="I52" i="8"/>
  <c r="K52" i="8"/>
  <c r="AD53" i="8"/>
  <c r="AA54" i="8"/>
  <c r="AB54" i="8" s="1"/>
  <c r="AC54" i="8" s="1"/>
  <c r="AD54" i="8" s="1"/>
  <c r="AE54" i="8" s="1"/>
  <c r="AF54" i="8" s="1"/>
  <c r="AG54" i="8" s="1"/>
  <c r="AH54" i="8" s="1"/>
  <c r="T60" i="8"/>
  <c r="U60" i="8"/>
  <c r="T68" i="8"/>
  <c r="T70" i="8" s="1"/>
  <c r="U68" i="8"/>
  <c r="U70" i="8"/>
  <c r="V68" i="8"/>
  <c r="V36" i="8" s="1"/>
  <c r="V40" i="8" s="1"/>
  <c r="V42" i="8" s="1"/>
  <c r="W68" i="8"/>
  <c r="W70" i="8" s="1"/>
  <c r="X68" i="8"/>
  <c r="X36" i="8" s="1"/>
  <c r="X40" i="8" s="1"/>
  <c r="F53" i="9"/>
  <c r="F57" i="9"/>
  <c r="F75" i="9"/>
  <c r="F93" i="9"/>
  <c r="D5" i="15"/>
  <c r="L5" i="15"/>
  <c r="D6" i="15"/>
  <c r="L6" i="15"/>
  <c r="G24" i="15" s="1"/>
  <c r="B17" i="15"/>
  <c r="B18" i="15"/>
  <c r="B21" i="15" s="1"/>
  <c r="B22" i="15" s="1"/>
  <c r="B23" i="15" s="1"/>
  <c r="B24" i="15" s="1"/>
  <c r="B25" i="15" s="1"/>
  <c r="B26" i="15" s="1"/>
  <c r="L19" i="15"/>
  <c r="L28" i="15" s="1"/>
  <c r="J21" i="15"/>
  <c r="J26" i="15"/>
  <c r="L32" i="15"/>
  <c r="L34" i="15"/>
  <c r="B39" i="15"/>
  <c r="B41" i="15" s="1"/>
  <c r="B42" i="15" s="1"/>
  <c r="B43" i="15" s="1"/>
  <c r="L39" i="15"/>
  <c r="L42" i="15"/>
  <c r="J43" i="15"/>
  <c r="L43" i="15"/>
  <c r="L45" i="15"/>
  <c r="B50" i="15"/>
  <c r="B52" i="15" s="1"/>
  <c r="B53" i="15" s="1"/>
  <c r="B54" i="15" s="1"/>
  <c r="B55" i="15" s="1"/>
  <c r="L50" i="15"/>
  <c r="L57" i="15" s="1"/>
  <c r="L53" i="15"/>
  <c r="J54" i="15"/>
  <c r="L54" i="15" s="1"/>
  <c r="L55" i="15"/>
  <c r="B64" i="15"/>
  <c r="B69" i="15" s="1"/>
  <c r="B72" i="15" s="1"/>
  <c r="B73" i="15" s="1"/>
  <c r="L65" i="15"/>
  <c r="L75" i="15" s="1"/>
  <c r="L72" i="15"/>
  <c r="L73" i="15"/>
  <c r="B82" i="15"/>
  <c r="B87" i="15" s="1"/>
  <c r="B90" i="15" s="1"/>
  <c r="B91" i="15" s="1"/>
  <c r="L83" i="15"/>
  <c r="L90" i="15"/>
  <c r="L91" i="15"/>
  <c r="B98" i="15"/>
  <c r="L98" i="15"/>
  <c r="B100" i="15"/>
  <c r="B101" i="15" s="1"/>
  <c r="L100" i="15"/>
  <c r="L101" i="15"/>
  <c r="L103" i="15"/>
  <c r="B108" i="15"/>
  <c r="B110" i="15" s="1"/>
  <c r="B112" i="15" s="1"/>
  <c r="B113" i="15" s="1"/>
  <c r="B115" i="15" s="1"/>
  <c r="B116" i="15" s="1"/>
  <c r="B117" i="15" s="1"/>
  <c r="B118" i="15" s="1"/>
  <c r="B120" i="15" s="1"/>
  <c r="B122" i="15" s="1"/>
  <c r="B124" i="15" s="1"/>
  <c r="B125" i="15" s="1"/>
  <c r="B126" i="15" s="1"/>
  <c r="L108" i="15"/>
  <c r="L112" i="15"/>
  <c r="J113" i="15"/>
  <c r="L117" i="15"/>
  <c r="L122" i="15"/>
  <c r="L125" i="15"/>
  <c r="B132" i="15"/>
  <c r="B133" i="15" s="1"/>
  <c r="B135" i="15" s="1"/>
  <c r="B136" i="15" s="1"/>
  <c r="B137" i="15" s="1"/>
  <c r="B138" i="15" s="1"/>
  <c r="L134" i="15"/>
  <c r="L135" i="15"/>
  <c r="L136" i="15"/>
  <c r="L137" i="15"/>
  <c r="J138" i="15"/>
  <c r="L138" i="15" s="1"/>
  <c r="L140" i="15" s="1"/>
  <c r="L150" i="15"/>
  <c r="L152" i="15" s="1"/>
  <c r="L160" i="15"/>
  <c r="L167" i="15"/>
  <c r="B172" i="15"/>
  <c r="B174" i="15" s="1"/>
  <c r="L177" i="15"/>
  <c r="B183" i="15"/>
  <c r="L188" i="15"/>
  <c r="C5" i="5"/>
  <c r="C6" i="5"/>
  <c r="C9" i="5"/>
  <c r="G9" i="5"/>
  <c r="H24" i="5"/>
  <c r="C11" i="18"/>
  <c r="G11" i="18"/>
  <c r="C15" i="18"/>
  <c r="G15" i="18"/>
  <c r="J34" i="18"/>
  <c r="J35" i="18"/>
  <c r="J36" i="18"/>
  <c r="J39" i="18"/>
  <c r="J40" i="18"/>
  <c r="J41" i="18"/>
  <c r="J42" i="18"/>
  <c r="J43" i="18"/>
  <c r="J44" i="18"/>
  <c r="J47" i="18"/>
  <c r="K47" i="18"/>
  <c r="C11" i="20"/>
  <c r="G11" i="20"/>
  <c r="C15" i="20"/>
  <c r="G15" i="20"/>
  <c r="J34" i="20"/>
  <c r="J35" i="20"/>
  <c r="J36" i="20"/>
  <c r="J39" i="20"/>
  <c r="J40" i="20"/>
  <c r="J41" i="20"/>
  <c r="J42" i="20"/>
  <c r="J43" i="20"/>
  <c r="J44" i="20"/>
  <c r="C11" i="17"/>
  <c r="G11" i="17"/>
  <c r="C15" i="17"/>
  <c r="G15" i="17"/>
  <c r="J34" i="17"/>
  <c r="J35" i="17"/>
  <c r="J36" i="17"/>
  <c r="J39" i="17"/>
  <c r="J40" i="17"/>
  <c r="J41" i="17"/>
  <c r="J42" i="17"/>
  <c r="J43" i="17"/>
  <c r="J44" i="17"/>
  <c r="C11" i="16"/>
  <c r="G11" i="16"/>
  <c r="C15" i="16"/>
  <c r="G15" i="16"/>
  <c r="J25" i="16"/>
  <c r="J26" i="16"/>
  <c r="J27" i="16"/>
  <c r="J28" i="16"/>
  <c r="J29" i="16"/>
  <c r="J30" i="16"/>
  <c r="J31" i="16"/>
  <c r="J32" i="16"/>
  <c r="J33" i="16"/>
  <c r="H13" i="7"/>
  <c r="I13" i="7" s="1"/>
  <c r="K13" i="7"/>
  <c r="M13" i="7"/>
  <c r="O13" i="7"/>
  <c r="Q13" i="7" s="1"/>
  <c r="R13" i="7"/>
  <c r="H14" i="7"/>
  <c r="I14" i="7" s="1"/>
  <c r="L14" i="7" s="1"/>
  <c r="N14" i="7" s="1"/>
  <c r="K14" i="7"/>
  <c r="M14" i="7"/>
  <c r="O14" i="7"/>
  <c r="Q14" i="7" s="1"/>
  <c r="R14" i="7"/>
  <c r="H15" i="7"/>
  <c r="I15" i="7" s="1"/>
  <c r="L15" i="7" s="1"/>
  <c r="K15" i="7"/>
  <c r="M15" i="7"/>
  <c r="O15" i="7"/>
  <c r="Q15" i="7" s="1"/>
  <c r="R15" i="7"/>
  <c r="H16" i="7"/>
  <c r="I16" i="7" s="1"/>
  <c r="K16" i="7"/>
  <c r="M16" i="7"/>
  <c r="O16" i="7"/>
  <c r="Q16" i="7" s="1"/>
  <c r="R16" i="7"/>
  <c r="H17" i="7"/>
  <c r="I17" i="7" s="1"/>
  <c r="K17" i="7"/>
  <c r="M17" i="7"/>
  <c r="O17" i="7"/>
  <c r="Q17" i="7" s="1"/>
  <c r="R17" i="7"/>
  <c r="H18" i="7"/>
  <c r="I18" i="7" s="1"/>
  <c r="K18" i="7"/>
  <c r="M18" i="7"/>
  <c r="O18" i="7"/>
  <c r="Q18" i="7" s="1"/>
  <c r="R18" i="7"/>
  <c r="H19" i="7"/>
  <c r="L19" i="7"/>
  <c r="M19" i="7" s="1"/>
  <c r="O19" i="7"/>
  <c r="R19" i="7"/>
  <c r="H20" i="7"/>
  <c r="L20" i="7"/>
  <c r="M20" i="7"/>
  <c r="O20" i="7"/>
  <c r="R20" i="7"/>
  <c r="H21" i="7"/>
  <c r="L21" i="7"/>
  <c r="M21" i="7"/>
  <c r="O21" i="7"/>
  <c r="R21" i="7"/>
  <c r="H22" i="7"/>
  <c r="L22" i="7"/>
  <c r="M22" i="7" s="1"/>
  <c r="O22" i="7"/>
  <c r="R22" i="7"/>
  <c r="H24" i="7"/>
  <c r="I24" i="7"/>
  <c r="G24" i="7" s="1"/>
  <c r="K24" i="7"/>
  <c r="L24" i="7" s="1"/>
  <c r="M24" i="7"/>
  <c r="O24" i="7"/>
  <c r="R24" i="7"/>
  <c r="H25" i="7"/>
  <c r="I25" i="7"/>
  <c r="K25" i="7"/>
  <c r="L25" i="7" s="1"/>
  <c r="M25" i="7"/>
  <c r="O25" i="7"/>
  <c r="R25" i="7"/>
  <c r="G26" i="7"/>
  <c r="AC5" i="1"/>
  <c r="AK5" i="1"/>
  <c r="AN5" i="1"/>
  <c r="AV5" i="1"/>
  <c r="AC6" i="1"/>
  <c r="AK6" i="1"/>
  <c r="AN6" i="1"/>
  <c r="AV6" i="1"/>
  <c r="X12" i="1"/>
  <c r="AH11" i="1"/>
  <c r="AJ11" i="1"/>
  <c r="AS11" i="1"/>
  <c r="AU11" i="1"/>
  <c r="AC12" i="1"/>
  <c r="AN12" i="1"/>
  <c r="AC13" i="1"/>
  <c r="AN13" i="1"/>
  <c r="AC14" i="1"/>
  <c r="AN14" i="1"/>
  <c r="AH19" i="1"/>
  <c r="AJ19" i="1"/>
  <c r="AK19" i="1"/>
  <c r="AS19" i="1"/>
  <c r="AU19" i="1"/>
  <c r="AV19" i="1"/>
  <c r="AH20" i="1"/>
  <c r="AJ20" i="1"/>
  <c r="AK20" i="1"/>
  <c r="AS20" i="1"/>
  <c r="AU20" i="1"/>
  <c r="AV20" i="1"/>
  <c r="AH21" i="1"/>
  <c r="AJ21" i="1"/>
  <c r="AK21" i="1"/>
  <c r="AS21" i="1"/>
  <c r="AU21" i="1"/>
  <c r="AV21" i="1"/>
  <c r="AH22" i="1"/>
  <c r="AJ22" i="1"/>
  <c r="AK22" i="1"/>
  <c r="AS22" i="1"/>
  <c r="AU22" i="1"/>
  <c r="AV22" i="1"/>
  <c r="AH23" i="1"/>
  <c r="AJ23" i="1"/>
  <c r="AK23" i="1"/>
  <c r="AS23" i="1"/>
  <c r="AU23" i="1"/>
  <c r="AV23" i="1"/>
  <c r="W30" i="1"/>
  <c r="X30" i="1" s="1"/>
  <c r="W31" i="1"/>
  <c r="X31" i="1" s="1"/>
  <c r="AF36" i="1"/>
  <c r="AQ36" i="1"/>
  <c r="AF38" i="1"/>
  <c r="AQ38" i="1"/>
  <c r="W33" i="1"/>
  <c r="X33" i="1" s="1"/>
  <c r="AF39" i="1"/>
  <c r="AQ39" i="1"/>
  <c r="AF40" i="1"/>
  <c r="AQ40" i="1"/>
  <c r="AF42" i="1"/>
  <c r="AQ42" i="1"/>
  <c r="AF43" i="1"/>
  <c r="AQ43" i="1"/>
  <c r="AF46" i="1"/>
  <c r="AQ46" i="1"/>
  <c r="AF52" i="1"/>
  <c r="AQ52" i="1"/>
  <c r="AF53" i="1"/>
  <c r="AQ53" i="1"/>
  <c r="AF54" i="1"/>
  <c r="AQ54" i="1"/>
  <c r="AF55" i="1"/>
  <c r="AQ55" i="1"/>
  <c r="AF58" i="1"/>
  <c r="AQ58" i="1"/>
  <c r="AF59" i="1"/>
  <c r="AQ59" i="1"/>
  <c r="C43" i="1"/>
  <c r="AF60" i="1"/>
  <c r="AQ60" i="1"/>
  <c r="C44" i="1"/>
  <c r="AF61" i="1"/>
  <c r="AQ61" i="1"/>
  <c r="AF62" i="1"/>
  <c r="AQ62" i="1"/>
  <c r="AF63" i="1"/>
  <c r="AQ63" i="1"/>
  <c r="AF64" i="1"/>
  <c r="AQ64" i="1"/>
  <c r="AI67" i="1"/>
  <c r="AT67" i="1"/>
  <c r="C62" i="1"/>
  <c r="C63" i="1"/>
  <c r="C64" i="1"/>
  <c r="G70" i="1"/>
  <c r="G71" i="1" s="1"/>
  <c r="G72" i="1" s="1"/>
  <c r="O81" i="1"/>
  <c r="W29" i="1"/>
  <c r="X29" i="1" s="1"/>
  <c r="W28" i="1"/>
  <c r="X28" i="1" s="1"/>
  <c r="W27" i="1"/>
  <c r="X27" i="1" s="1"/>
  <c r="G93" i="9"/>
  <c r="X70" i="8"/>
  <c r="U36" i="8"/>
  <c r="U40" i="8" s="1"/>
  <c r="U42" i="8" s="1"/>
  <c r="W40" i="8"/>
  <c r="W42" i="8" s="1"/>
  <c r="G26" i="5"/>
  <c r="G34" i="18"/>
  <c r="G34" i="16"/>
  <c r="G34" i="17"/>
  <c r="G34" i="20"/>
  <c r="W32" i="1"/>
  <c r="X32" i="1" s="1"/>
  <c r="G35" i="18"/>
  <c r="G35" i="17"/>
  <c r="G35" i="16"/>
  <c r="H42" i="16" s="1"/>
  <c r="H44" i="16" s="1"/>
  <c r="G27" i="5"/>
  <c r="G35" i="20"/>
  <c r="H42" i="20" s="1"/>
  <c r="H44" i="20" s="1"/>
  <c r="H36" i="20"/>
  <c r="H36" i="17"/>
  <c r="H39" i="17" s="1"/>
  <c r="H36" i="16"/>
  <c r="H39" i="16" s="1"/>
  <c r="H36" i="18"/>
  <c r="H39" i="18" s="1"/>
  <c r="H30" i="5"/>
  <c r="H39" i="5" s="1"/>
  <c r="N24" i="7" l="1"/>
  <c r="N15" i="7"/>
  <c r="Q24" i="7"/>
  <c r="L18" i="7"/>
  <c r="N18" i="7" s="1"/>
  <c r="L16" i="7"/>
  <c r="N16" i="7" s="1"/>
  <c r="X42" i="8"/>
  <c r="F89" i="9"/>
  <c r="V89" i="9"/>
  <c r="AD89" i="9"/>
  <c r="N89" i="9"/>
  <c r="L17" i="7"/>
  <c r="N17" i="7" s="1"/>
  <c r="V53" i="9"/>
  <c r="AD71" i="9"/>
  <c r="N71" i="9"/>
  <c r="F71" i="9"/>
  <c r="V71" i="9"/>
  <c r="N53" i="9"/>
  <c r="AD53" i="9"/>
  <c r="T40" i="8"/>
  <c r="T42" i="8" s="1"/>
  <c r="AE89" i="9"/>
  <c r="W89" i="9"/>
  <c r="N25" i="7"/>
  <c r="R26" i="7"/>
  <c r="C2" i="9" s="1"/>
  <c r="K2" i="9" s="1"/>
  <c r="S2" i="9" s="1"/>
  <c r="AA2" i="9" s="1"/>
  <c r="G25" i="7"/>
  <c r="Q25" i="7" s="1"/>
  <c r="Q26" i="7" s="1"/>
  <c r="BM19" i="1"/>
  <c r="I11" i="8"/>
  <c r="I12" i="8" s="1"/>
  <c r="I14" i="8" s="1"/>
  <c r="I16" i="8" s="1"/>
  <c r="S13" i="1"/>
  <c r="L13" i="7"/>
  <c r="N13" i="7" s="1"/>
  <c r="N26" i="7" s="1"/>
  <c r="I26" i="7"/>
  <c r="H26" i="7" s="1"/>
  <c r="V70" i="8"/>
  <c r="BM21" i="1"/>
  <c r="BM23" i="1"/>
  <c r="L93" i="15"/>
  <c r="AF23" i="1"/>
  <c r="AK47" i="1"/>
  <c r="B3" i="9"/>
  <c r="R3" i="9"/>
  <c r="BG47" i="1"/>
  <c r="J3" i="9"/>
  <c r="AV47" i="1"/>
  <c r="Z3" i="9"/>
  <c r="Z70" i="9" s="1"/>
  <c r="BR47" i="1"/>
  <c r="H42" i="17"/>
  <c r="H44" i="17" s="1"/>
  <c r="H33" i="5"/>
  <c r="K44" i="17"/>
  <c r="K43" i="17"/>
  <c r="K34" i="17"/>
  <c r="K28" i="16"/>
  <c r="H43" i="16"/>
  <c r="H45" i="16" s="1"/>
  <c r="K30" i="16"/>
  <c r="K29" i="16"/>
  <c r="K27" i="16"/>
  <c r="K33" i="16"/>
  <c r="K25" i="16"/>
  <c r="K39" i="17"/>
  <c r="J22" i="15"/>
  <c r="K35" i="17"/>
  <c r="J25" i="15"/>
  <c r="H42" i="18"/>
  <c r="H43" i="18" s="1"/>
  <c r="K40" i="18"/>
  <c r="K39" i="18"/>
  <c r="K43" i="18"/>
  <c r="K42" i="18"/>
  <c r="K44" i="18"/>
  <c r="H44" i="18"/>
  <c r="K41" i="18"/>
  <c r="K34" i="18"/>
  <c r="K36" i="18"/>
  <c r="K35" i="18"/>
  <c r="K41" i="17"/>
  <c r="K42" i="17"/>
  <c r="K31" i="16"/>
  <c r="K32" i="16"/>
  <c r="K40" i="17"/>
  <c r="J23" i="15"/>
  <c r="K26" i="16"/>
  <c r="K36" i="17"/>
  <c r="H43" i="17"/>
  <c r="AQ22" i="1"/>
  <c r="AQ20" i="1"/>
  <c r="AQ19" i="1"/>
  <c r="BM20" i="1"/>
  <c r="BB22" i="1"/>
  <c r="BB19" i="1"/>
  <c r="BB23" i="1"/>
  <c r="L126" i="15"/>
  <c r="L128" i="15" s="1"/>
  <c r="L193" i="15" s="1"/>
  <c r="G23" i="15"/>
  <c r="G22" i="15"/>
  <c r="J24" i="15"/>
  <c r="J5" i="8"/>
  <c r="AS41" i="1"/>
  <c r="AQ41" i="1" s="1"/>
  <c r="BB20" i="1"/>
  <c r="BB21" i="1"/>
  <c r="BM22" i="1"/>
  <c r="AQ23" i="1"/>
  <c r="AQ21" i="1"/>
  <c r="I5" i="8"/>
  <c r="AF41" i="1"/>
  <c r="AF21" i="1"/>
  <c r="AF19" i="1"/>
  <c r="H5" i="8"/>
  <c r="W34" i="1"/>
  <c r="X34" i="1" s="1"/>
  <c r="AF22" i="1"/>
  <c r="AF20" i="1"/>
  <c r="G5" i="8"/>
  <c r="W36" i="1"/>
  <c r="AJ47" i="1" s="1"/>
  <c r="G6" i="8" l="1"/>
  <c r="O37" i="1" s="1"/>
  <c r="J6" i="8"/>
  <c r="U37" i="1" s="1"/>
  <c r="H6" i="8"/>
  <c r="Q37" i="1" s="1"/>
  <c r="I6" i="8"/>
  <c r="S37" i="1" s="1"/>
  <c r="L26" i="7"/>
  <c r="Z88" i="9"/>
  <c r="AD88" i="9" s="1"/>
  <c r="AD97" i="9" s="1"/>
  <c r="Z24" i="9" s="1"/>
  <c r="H48" i="16"/>
  <c r="BQ47" i="1"/>
  <c r="Z34" i="9"/>
  <c r="Z36" i="9" s="1"/>
  <c r="Z43" i="9" s="1"/>
  <c r="AC42" i="9" s="1"/>
  <c r="Z5" i="9"/>
  <c r="BR45" i="1" s="1"/>
  <c r="BM45" i="1" s="1"/>
  <c r="Z52" i="9"/>
  <c r="Z54" i="9" s="1"/>
  <c r="Z61" i="9" s="1"/>
  <c r="BF47" i="1"/>
  <c r="AU47" i="1"/>
  <c r="AQ47" i="1" s="1"/>
  <c r="H47" i="16"/>
  <c r="H46" i="16"/>
  <c r="H48" i="17"/>
  <c r="H45" i="17"/>
  <c r="H47" i="17"/>
  <c r="H46" i="17"/>
  <c r="H46" i="18"/>
  <c r="H47" i="18"/>
  <c r="H48" i="18"/>
  <c r="H45" i="18"/>
  <c r="AE88" i="9"/>
  <c r="AE97" i="9" s="1"/>
  <c r="Z25" i="9" s="1"/>
  <c r="Z90" i="9"/>
  <c r="Z97" i="9" s="1"/>
  <c r="AD52" i="9"/>
  <c r="AD61" i="9" s="1"/>
  <c r="Z14" i="9" s="1"/>
  <c r="Z72" i="9"/>
  <c r="AD70" i="9"/>
  <c r="AD79" i="9" s="1"/>
  <c r="Z19" i="9" s="1"/>
  <c r="H29" i="5"/>
  <c r="H34" i="5" s="1"/>
  <c r="AF47" i="1"/>
  <c r="Z16" i="9" l="1"/>
  <c r="AA14" i="9"/>
  <c r="AC14" i="9"/>
  <c r="AB14" i="9"/>
  <c r="AD14" i="9"/>
  <c r="AC25" i="9"/>
  <c r="AA25" i="9"/>
  <c r="AC24" i="9"/>
  <c r="AA24" i="9"/>
  <c r="BQ27" i="1"/>
  <c r="BM27" i="1" s="1"/>
  <c r="BQ28" i="1"/>
  <c r="BM28" i="1" s="1"/>
  <c r="BQ29" i="1"/>
  <c r="BR29" i="1"/>
  <c r="BM30" i="1"/>
  <c r="AC39" i="9"/>
  <c r="BM29" i="1"/>
  <c r="AC38" i="9"/>
  <c r="AC41" i="9"/>
  <c r="AA36" i="9" s="1"/>
  <c r="AB36" i="9" s="1"/>
  <c r="AC40" i="9"/>
  <c r="AA19" i="9"/>
  <c r="AC19" i="9"/>
  <c r="AB19" i="9"/>
  <c r="AD19" i="9"/>
  <c r="Z73" i="9"/>
  <c r="Z79" i="9"/>
  <c r="AC57" i="9"/>
  <c r="AC56" i="9"/>
  <c r="AC59" i="9"/>
  <c r="AC60" i="9"/>
  <c r="AC58" i="9"/>
  <c r="Z27" i="9"/>
  <c r="BB47" i="1"/>
  <c r="BM47" i="1"/>
  <c r="Q38" i="1"/>
  <c r="Q39" i="1" s="1"/>
  <c r="H35" i="5"/>
  <c r="U38" i="1"/>
  <c r="U39" i="1" s="1"/>
  <c r="W37" i="1"/>
  <c r="O38" i="1"/>
  <c r="O39" i="1" s="1"/>
  <c r="S38" i="1"/>
  <c r="S39" i="1" s="1"/>
  <c r="Q40" i="1" l="1"/>
  <c r="AA40" i="9"/>
  <c r="AB40" i="9" s="1"/>
  <c r="AB43" i="9" s="1"/>
  <c r="AV49" i="1"/>
  <c r="AQ49" i="1" s="1"/>
  <c r="AS48" i="1"/>
  <c r="AQ48" i="1" s="1"/>
  <c r="AA58" i="9"/>
  <c r="AB58" i="9" s="1"/>
  <c r="AA54" i="9"/>
  <c r="AB54" i="9" s="1"/>
  <c r="AC75" i="9"/>
  <c r="AC74" i="9"/>
  <c r="AC76" i="9"/>
  <c r="AC77" i="9"/>
  <c r="Z80" i="9"/>
  <c r="AC78" i="9"/>
  <c r="S40" i="1"/>
  <c r="S47" i="1" s="1"/>
  <c r="O40" i="1"/>
  <c r="O47" i="1" s="1"/>
  <c r="H38" i="5"/>
  <c r="W38" i="1"/>
  <c r="H36" i="5"/>
  <c r="H37" i="5" s="1"/>
  <c r="Q47" i="1" l="1"/>
  <c r="AV35" i="1"/>
  <c r="AU35" i="1"/>
  <c r="AW80" i="1"/>
  <c r="AW82" i="1" s="1"/>
  <c r="AS35" i="1"/>
  <c r="Q46" i="1"/>
  <c r="AL80" i="1"/>
  <c r="AL82" i="1" s="1"/>
  <c r="AK49" i="1"/>
  <c r="AF49" i="1" s="1"/>
  <c r="AH48" i="1"/>
  <c r="AF48" i="1" s="1"/>
  <c r="AK35" i="1"/>
  <c r="AJ35" i="1"/>
  <c r="AH35" i="1"/>
  <c r="BD35" i="1"/>
  <c r="BG49" i="1"/>
  <c r="BB49" i="1" s="1"/>
  <c r="BD48" i="1"/>
  <c r="BB48" i="1" s="1"/>
  <c r="BG35" i="1"/>
  <c r="BH80" i="1"/>
  <c r="BH82" i="1" s="1"/>
  <c r="BF35" i="1"/>
  <c r="AB61" i="9"/>
  <c r="Z12" i="9" s="1"/>
  <c r="BM31" i="1" s="1"/>
  <c r="AA76" i="9"/>
  <c r="AA72" i="9"/>
  <c r="Z10" i="9"/>
  <c r="AA43" i="9"/>
  <c r="S46" i="1"/>
  <c r="H40" i="5"/>
  <c r="Z41" i="1"/>
  <c r="Z46" i="1"/>
  <c r="O46" i="1"/>
  <c r="U40" i="1"/>
  <c r="U47" i="1" s="1"/>
  <c r="J70" i="9"/>
  <c r="J34" i="9"/>
  <c r="J36" i="9" s="1"/>
  <c r="J5" i="9"/>
  <c r="J52" i="9"/>
  <c r="J88" i="9"/>
  <c r="Q45" i="1"/>
  <c r="W39" i="1"/>
  <c r="W40" i="1" s="1"/>
  <c r="B38" i="9"/>
  <c r="B40" i="9" s="1"/>
  <c r="B56" i="9"/>
  <c r="B74" i="9"/>
  <c r="B92" i="9"/>
  <c r="S45" i="1"/>
  <c r="O45" i="1"/>
  <c r="G38" i="20"/>
  <c r="H39" i="20" s="1"/>
  <c r="B34" i="9"/>
  <c r="B36" i="9" s="1"/>
  <c r="B88" i="9"/>
  <c r="AQ35" i="1" l="1"/>
  <c r="BB35" i="1"/>
  <c r="AA61" i="9"/>
  <c r="AQ44" i="1"/>
  <c r="BB44" i="1"/>
  <c r="AF44" i="1"/>
  <c r="AJ44" i="1" s="1"/>
  <c r="BM44" i="1"/>
  <c r="BM26" i="1"/>
  <c r="AV45" i="1"/>
  <c r="AQ45" i="1" s="1"/>
  <c r="AV29" i="1"/>
  <c r="AU29" i="1"/>
  <c r="AU28" i="1"/>
  <c r="AQ28" i="1" s="1"/>
  <c r="AU27" i="1"/>
  <c r="AQ27" i="1" s="1"/>
  <c r="J43" i="9"/>
  <c r="M42" i="9" s="1"/>
  <c r="AQ30" i="1"/>
  <c r="AF35" i="1"/>
  <c r="Z47" i="1"/>
  <c r="Z48" i="1" s="1"/>
  <c r="U46" i="1"/>
  <c r="W46" i="1" s="1"/>
  <c r="M46" i="1" s="1"/>
  <c r="BQ35" i="1"/>
  <c r="BO35" i="1"/>
  <c r="BS80" i="1"/>
  <c r="BS82" i="1" s="1"/>
  <c r="BR49" i="1"/>
  <c r="BM49" i="1" s="1"/>
  <c r="BO48" i="1"/>
  <c r="BM48" i="1" s="1"/>
  <c r="BR35" i="1"/>
  <c r="Z42" i="1"/>
  <c r="AA42" i="1" s="1"/>
  <c r="AA77" i="9"/>
  <c r="AB77" i="9" s="1"/>
  <c r="AB76" i="9"/>
  <c r="AA73" i="9"/>
  <c r="AB73" i="9" s="1"/>
  <c r="AB72" i="9"/>
  <c r="AC10" i="9"/>
  <c r="AF10" i="9"/>
  <c r="AE10" i="9"/>
  <c r="AA10" i="9"/>
  <c r="AE12" i="9"/>
  <c r="AA12" i="9"/>
  <c r="AF12" i="9"/>
  <c r="AC12" i="9"/>
  <c r="M39" i="1"/>
  <c r="U45" i="1"/>
  <c r="W45" i="1" s="1"/>
  <c r="M45" i="1" s="1"/>
  <c r="W47" i="1"/>
  <c r="M47" i="1" s="1"/>
  <c r="J90" i="9"/>
  <c r="J97" i="9" s="1"/>
  <c r="N88" i="9"/>
  <c r="N97" i="9" s="1"/>
  <c r="J24" i="9" s="1"/>
  <c r="O88" i="9"/>
  <c r="O97" i="9" s="1"/>
  <c r="J25" i="9" s="1"/>
  <c r="J72" i="9"/>
  <c r="N70" i="9"/>
  <c r="N79" i="9" s="1"/>
  <c r="J19" i="9" s="1"/>
  <c r="N52" i="9"/>
  <c r="N61" i="9" s="1"/>
  <c r="J14" i="9" s="1"/>
  <c r="J54" i="9"/>
  <c r="J61" i="9" s="1"/>
  <c r="B5" i="9"/>
  <c r="AK45" i="1" s="1"/>
  <c r="AF45" i="1" s="1"/>
  <c r="B70" i="9"/>
  <c r="F70" i="9" s="1"/>
  <c r="B90" i="9"/>
  <c r="F88" i="9"/>
  <c r="G88" i="9"/>
  <c r="X40" i="1"/>
  <c r="F56" i="9"/>
  <c r="B58" i="9"/>
  <c r="AF30" i="1"/>
  <c r="B43" i="9"/>
  <c r="G92" i="9"/>
  <c r="F92" i="9"/>
  <c r="B94" i="9"/>
  <c r="K34" i="20"/>
  <c r="K39" i="20"/>
  <c r="K36" i="20"/>
  <c r="K44" i="20"/>
  <c r="K41" i="20"/>
  <c r="H43" i="20"/>
  <c r="K35" i="20"/>
  <c r="K40" i="20"/>
  <c r="K43" i="20"/>
  <c r="K42" i="20"/>
  <c r="F74" i="9"/>
  <c r="B76" i="9"/>
  <c r="AH44" i="1" l="1"/>
  <c r="AK44" i="1" s="1"/>
  <c r="AJ29" i="1"/>
  <c r="AJ27" i="1"/>
  <c r="AF27" i="1" s="1"/>
  <c r="M39" i="9"/>
  <c r="B72" i="9"/>
  <c r="B79" i="9" s="1"/>
  <c r="BO44" i="1"/>
  <c r="BQ44" i="1"/>
  <c r="M41" i="9"/>
  <c r="K36" i="9" s="1"/>
  <c r="L36" i="9" s="1"/>
  <c r="M38" i="9"/>
  <c r="M40" i="9"/>
  <c r="AB79" i="9"/>
  <c r="AA79" i="9" s="1"/>
  <c r="BM35" i="1"/>
  <c r="BF44" i="1"/>
  <c r="BD44" i="1"/>
  <c r="AK29" i="1"/>
  <c r="BO26" i="1"/>
  <c r="BQ26" i="1"/>
  <c r="AU44" i="1"/>
  <c r="AS44" i="1"/>
  <c r="BR12" i="1"/>
  <c r="AJ28" i="1"/>
  <c r="AF28" i="1" s="1"/>
  <c r="J73" i="9"/>
  <c r="J79" i="9"/>
  <c r="K25" i="9"/>
  <c r="M25" i="9"/>
  <c r="K24" i="9"/>
  <c r="J27" i="9"/>
  <c r="M24" i="9"/>
  <c r="M59" i="9"/>
  <c r="M56" i="9"/>
  <c r="M57" i="9"/>
  <c r="M58" i="9"/>
  <c r="M60" i="9"/>
  <c r="L14" i="9"/>
  <c r="J16" i="9"/>
  <c r="N14" i="9"/>
  <c r="V14" i="9" s="1"/>
  <c r="K14" i="9"/>
  <c r="M14" i="9"/>
  <c r="L19" i="9"/>
  <c r="M19" i="9"/>
  <c r="K19" i="9"/>
  <c r="N19" i="9"/>
  <c r="Z43" i="1"/>
  <c r="AA43" i="1" s="1"/>
  <c r="X36" i="1" s="1"/>
  <c r="F97" i="9"/>
  <c r="B24" i="9" s="1"/>
  <c r="F79" i="9"/>
  <c r="B19" i="9" s="1"/>
  <c r="B97" i="9"/>
  <c r="E39" i="9"/>
  <c r="E38" i="9"/>
  <c r="E40" i="9"/>
  <c r="E41" i="9"/>
  <c r="E42" i="9"/>
  <c r="H48" i="20"/>
  <c r="H45" i="20"/>
  <c r="H46" i="20"/>
  <c r="H47" i="20"/>
  <c r="AQ29" i="1"/>
  <c r="G97" i="9"/>
  <c r="B25" i="9" s="1"/>
  <c r="K40" i="9" l="1"/>
  <c r="L40" i="9" s="1"/>
  <c r="L43" i="9" s="1"/>
  <c r="AF29" i="1"/>
  <c r="BG44" i="1"/>
  <c r="AV44" i="1"/>
  <c r="AV65" i="1" s="1"/>
  <c r="Q54" i="1" s="1"/>
  <c r="Z18" i="9"/>
  <c r="AK65" i="1"/>
  <c r="O54" i="1" s="1"/>
  <c r="BR44" i="1"/>
  <c r="BR65" i="1" s="1"/>
  <c r="U54" i="1" s="1"/>
  <c r="K58" i="9"/>
  <c r="L58" i="9" s="1"/>
  <c r="K54" i="9"/>
  <c r="L54" i="9" s="1"/>
  <c r="M77" i="9"/>
  <c r="J80" i="9"/>
  <c r="M78" i="9"/>
  <c r="M76" i="9"/>
  <c r="M75" i="9"/>
  <c r="M74" i="9"/>
  <c r="C36" i="9"/>
  <c r="D36" i="9" s="1"/>
  <c r="C40" i="9"/>
  <c r="D40" i="9" s="1"/>
  <c r="Z50" i="1"/>
  <c r="C25" i="9"/>
  <c r="E25" i="9"/>
  <c r="E24" i="9"/>
  <c r="B27" i="9"/>
  <c r="C24" i="9"/>
  <c r="C19" i="9"/>
  <c r="E19" i="9"/>
  <c r="D19" i="9"/>
  <c r="F19" i="9"/>
  <c r="E74" i="9"/>
  <c r="E77" i="9"/>
  <c r="E75" i="9"/>
  <c r="E78" i="9"/>
  <c r="B80" i="9"/>
  <c r="E76" i="9"/>
  <c r="Z21" i="9" l="1"/>
  <c r="AC18" i="9"/>
  <c r="AA18" i="9"/>
  <c r="AB18" i="9"/>
  <c r="AF18" i="9"/>
  <c r="AE18" i="9"/>
  <c r="AD18" i="9"/>
  <c r="L61" i="9"/>
  <c r="K61" i="9" s="1"/>
  <c r="K43" i="9"/>
  <c r="J10" i="9"/>
  <c r="K76" i="9"/>
  <c r="K72" i="9"/>
  <c r="D43" i="9"/>
  <c r="C76" i="9"/>
  <c r="D76" i="9" s="1"/>
  <c r="C72" i="9"/>
  <c r="D72" i="9" s="1"/>
  <c r="J12" i="9" l="1"/>
  <c r="AQ31" i="1" s="1"/>
  <c r="AU31" i="1" s="1"/>
  <c r="D79" i="9"/>
  <c r="B18" i="9" s="1"/>
  <c r="K73" i="9"/>
  <c r="L73" i="9" s="1"/>
  <c r="L72" i="9"/>
  <c r="K77" i="9"/>
  <c r="L77" i="9" s="1"/>
  <c r="L76" i="9"/>
  <c r="T10" i="9"/>
  <c r="L10" i="9"/>
  <c r="AB10" i="9"/>
  <c r="M10" i="9"/>
  <c r="O10" i="9"/>
  <c r="P10" i="9"/>
  <c r="K10" i="9"/>
  <c r="C43" i="9"/>
  <c r="B10" i="9"/>
  <c r="BO31" i="1"/>
  <c r="BO65" i="1" s="1"/>
  <c r="BQ31" i="1"/>
  <c r="BQ65" i="1" s="1"/>
  <c r="C79" i="9" l="1"/>
  <c r="O12" i="9"/>
  <c r="AV12" i="1" s="1"/>
  <c r="T12" i="9"/>
  <c r="P12" i="9"/>
  <c r="AS31" i="1"/>
  <c r="L12" i="9"/>
  <c r="K12" i="9"/>
  <c r="AS12" i="1" s="1"/>
  <c r="AB12" i="9"/>
  <c r="BO12" i="1" s="1"/>
  <c r="M12" i="9"/>
  <c r="BM65" i="1"/>
  <c r="U53" i="1"/>
  <c r="AD10" i="9"/>
  <c r="N10" i="9"/>
  <c r="L79" i="9"/>
  <c r="E18" i="9"/>
  <c r="D18" i="9"/>
  <c r="C18" i="9"/>
  <c r="B21" i="9"/>
  <c r="H18" i="9"/>
  <c r="G18" i="9"/>
  <c r="C10" i="9"/>
  <c r="G10" i="9"/>
  <c r="E10" i="9"/>
  <c r="D10" i="9"/>
  <c r="H10" i="9"/>
  <c r="N12" i="9" l="1"/>
  <c r="AU12" i="1" s="1"/>
  <c r="AD12" i="9"/>
  <c r="AK13" i="1"/>
  <c r="BQ12" i="1"/>
  <c r="K79" i="9"/>
  <c r="J18" i="9"/>
  <c r="F10" i="9"/>
  <c r="F18" i="9"/>
  <c r="BM12" i="1" l="1"/>
  <c r="K18" i="9"/>
  <c r="M18" i="9"/>
  <c r="L18" i="9"/>
  <c r="P18" i="9"/>
  <c r="J21" i="9"/>
  <c r="O18" i="9"/>
  <c r="N18" i="9"/>
  <c r="AU13" i="1" l="1"/>
  <c r="AU14" i="1" s="1"/>
  <c r="BQ13" i="1"/>
  <c r="BQ14" i="1" s="1"/>
  <c r="BQ67" i="1" s="1"/>
  <c r="BO13" i="1"/>
  <c r="AS13" i="1"/>
  <c r="AV13" i="1"/>
  <c r="AV14" i="1" s="1"/>
  <c r="Q44" i="1" s="1"/>
  <c r="Q79" i="1" s="1"/>
  <c r="BR13" i="1"/>
  <c r="BR14" i="1" s="1"/>
  <c r="AQ12" i="1"/>
  <c r="BM13" i="1" l="1"/>
  <c r="BM14" i="1" s="1"/>
  <c r="BO14" i="1"/>
  <c r="BR67" i="1"/>
  <c r="U44" i="1"/>
  <c r="U78" i="1"/>
  <c r="B52" i="9"/>
  <c r="AV67" i="1"/>
  <c r="AS14" i="1"/>
  <c r="Q43" i="1" s="1"/>
  <c r="AQ13" i="1"/>
  <c r="AQ14" i="1" s="1"/>
  <c r="BO67" i="1" l="1"/>
  <c r="U43" i="1"/>
  <c r="U48" i="1" s="1"/>
  <c r="U49" i="1" s="1"/>
  <c r="B54" i="9"/>
  <c r="B61" i="9" s="1"/>
  <c r="F52" i="9"/>
  <c r="F61" i="9" s="1"/>
  <c r="B14" i="9" s="1"/>
  <c r="Q48" i="1"/>
  <c r="Q49" i="1" s="1"/>
  <c r="U77" i="1" l="1"/>
  <c r="BM67" i="1"/>
  <c r="C14" i="9"/>
  <c r="E14" i="9"/>
  <c r="F14" i="9"/>
  <c r="D14" i="9"/>
  <c r="B16" i="9"/>
  <c r="E56" i="9"/>
  <c r="E59" i="9"/>
  <c r="E60" i="9"/>
  <c r="E57" i="9"/>
  <c r="E58" i="9"/>
  <c r="R70" i="9"/>
  <c r="R34" i="9"/>
  <c r="R36" i="9" s="1"/>
  <c r="R5" i="9"/>
  <c r="R88" i="9"/>
  <c r="R52" i="9"/>
  <c r="AJ13" i="1" l="1"/>
  <c r="C58" i="9"/>
  <c r="D58" i="9" s="1"/>
  <c r="C54" i="9"/>
  <c r="D54" i="9" s="1"/>
  <c r="BG45" i="1"/>
  <c r="BB45" i="1" s="1"/>
  <c r="BF29" i="1"/>
  <c r="BF28" i="1"/>
  <c r="BB28" i="1" s="1"/>
  <c r="BF27" i="1"/>
  <c r="BB27" i="1" s="1"/>
  <c r="BG29" i="1"/>
  <c r="BG65" i="1" s="1"/>
  <c r="S54" i="1" s="1"/>
  <c r="R43" i="9"/>
  <c r="U38" i="9" s="1"/>
  <c r="BB30" i="1"/>
  <c r="AH13" i="1"/>
  <c r="R90" i="9"/>
  <c r="R97" i="9" s="1"/>
  <c r="V88" i="9"/>
  <c r="V97" i="9" s="1"/>
  <c r="R24" i="9" s="1"/>
  <c r="W88" i="9"/>
  <c r="W97" i="9" s="1"/>
  <c r="R25" i="9" s="1"/>
  <c r="V52" i="9"/>
  <c r="V61" i="9" s="1"/>
  <c r="R14" i="9" s="1"/>
  <c r="R54" i="9"/>
  <c r="R61" i="9" s="1"/>
  <c r="V70" i="9"/>
  <c r="V79" i="9" s="1"/>
  <c r="R19" i="9" s="1"/>
  <c r="R72" i="9"/>
  <c r="U57" i="1"/>
  <c r="U40" i="9" l="1"/>
  <c r="U39" i="9"/>
  <c r="U42" i="9"/>
  <c r="U25" i="9"/>
  <c r="S25" i="9"/>
  <c r="S24" i="9"/>
  <c r="U24" i="9"/>
  <c r="R16" i="9"/>
  <c r="U14" i="9"/>
  <c r="T14" i="9"/>
  <c r="S14" i="9"/>
  <c r="U41" i="9"/>
  <c r="S40" i="9" s="1"/>
  <c r="T40" i="9" s="1"/>
  <c r="AF13" i="1"/>
  <c r="D61" i="9"/>
  <c r="C61" i="9" s="1"/>
  <c r="BB29" i="1"/>
  <c r="R27" i="9"/>
  <c r="S36" i="9"/>
  <c r="T36" i="9" s="1"/>
  <c r="T19" i="9"/>
  <c r="V19" i="9"/>
  <c r="U19" i="9"/>
  <c r="S19" i="9"/>
  <c r="U60" i="9"/>
  <c r="U56" i="9"/>
  <c r="U58" i="9"/>
  <c r="U59" i="9"/>
  <c r="U57" i="9"/>
  <c r="R73" i="9"/>
  <c r="R79" i="9"/>
  <c r="B12" i="9" l="1"/>
  <c r="E12" i="9" s="1"/>
  <c r="AF31" i="1"/>
  <c r="T43" i="9"/>
  <c r="R10" i="9" s="1"/>
  <c r="S58" i="9"/>
  <c r="T58" i="9" s="1"/>
  <c r="S54" i="9"/>
  <c r="T54" i="9" s="1"/>
  <c r="U75" i="9"/>
  <c r="U74" i="9"/>
  <c r="R80" i="9"/>
  <c r="U77" i="9"/>
  <c r="U76" i="9"/>
  <c r="U78" i="9"/>
  <c r="U59" i="1"/>
  <c r="C12" i="9" l="1"/>
  <c r="H12" i="9"/>
  <c r="G12" i="9"/>
  <c r="D12" i="9"/>
  <c r="S43" i="9"/>
  <c r="AH12" i="1"/>
  <c r="AJ31" i="1"/>
  <c r="AH31" i="1"/>
  <c r="AK12" i="1"/>
  <c r="AK14" i="1" s="1"/>
  <c r="T61" i="9"/>
  <c r="S61" i="9" s="1"/>
  <c r="S72" i="9"/>
  <c r="S76" i="9"/>
  <c r="X10" i="9"/>
  <c r="U10" i="9"/>
  <c r="W10" i="9"/>
  <c r="S10" i="9"/>
  <c r="F12" i="9" l="1"/>
  <c r="AJ12" i="1" s="1"/>
  <c r="AF12" i="1" s="1"/>
  <c r="R12" i="9"/>
  <c r="BB31" i="1" s="1"/>
  <c r="BD31" i="1" s="1"/>
  <c r="O44" i="1"/>
  <c r="AK67" i="1"/>
  <c r="AH14" i="1"/>
  <c r="W12" i="9"/>
  <c r="S77" i="9"/>
  <c r="T77" i="9" s="1"/>
  <c r="T76" i="9"/>
  <c r="V10" i="9"/>
  <c r="S73" i="9"/>
  <c r="T73" i="9" s="1"/>
  <c r="T72" i="9"/>
  <c r="X12" i="9" l="1"/>
  <c r="S12" i="9"/>
  <c r="BD12" i="1" s="1"/>
  <c r="O79" i="1"/>
  <c r="AJ14" i="1"/>
  <c r="O43" i="1" s="1"/>
  <c r="O48" i="1" s="1"/>
  <c r="O49" i="1" s="1"/>
  <c r="U79" i="1"/>
  <c r="U80" i="1" s="1"/>
  <c r="U12" i="9"/>
  <c r="V12" i="9" s="1"/>
  <c r="BF12" i="1" s="1"/>
  <c r="BF31" i="1"/>
  <c r="AF14" i="1"/>
  <c r="M44" i="1"/>
  <c r="BG12" i="1"/>
  <c r="T79" i="9"/>
  <c r="R18" i="9" l="1"/>
  <c r="BB12" i="1"/>
  <c r="S79" i="9"/>
  <c r="R21" i="9" l="1"/>
  <c r="V18" i="9"/>
  <c r="U18" i="9"/>
  <c r="T18" i="9"/>
  <c r="S18" i="9"/>
  <c r="BD13" i="1" s="1"/>
  <c r="X18" i="9"/>
  <c r="W18" i="9"/>
  <c r="BG13" i="1" l="1"/>
  <c r="BG14" i="1" s="1"/>
  <c r="BD14" i="1"/>
  <c r="BF13" i="1"/>
  <c r="BF14" i="1" s="1"/>
  <c r="S80" i="9"/>
  <c r="S43" i="1" l="1"/>
  <c r="M43" i="1" s="1"/>
  <c r="M48" i="1" s="1"/>
  <c r="BB13" i="1"/>
  <c r="BB14" i="1" s="1"/>
  <c r="S44" i="1"/>
  <c r="S79" i="1" s="1"/>
  <c r="BG67" i="1"/>
  <c r="S48" i="1" l="1"/>
  <c r="S49" i="1" l="1"/>
  <c r="W49" i="1" s="1"/>
  <c r="AF26" i="1" s="1"/>
  <c r="AH26" i="1" s="1"/>
  <c r="AH65" i="1" s="1"/>
  <c r="W48" i="1"/>
  <c r="AQ26" i="1" l="1"/>
  <c r="AS26" i="1" s="1"/>
  <c r="AS65" i="1" s="1"/>
  <c r="BB26" i="1"/>
  <c r="BD26" i="1" s="1"/>
  <c r="BD65" i="1" s="1"/>
  <c r="AJ26" i="1"/>
  <c r="AJ65" i="1" s="1"/>
  <c r="AJ67" i="1" s="1"/>
  <c r="O78" i="1" s="1"/>
  <c r="AH67" i="1"/>
  <c r="AU26" i="1" l="1"/>
  <c r="AU65" i="1" s="1"/>
  <c r="AU67" i="1" s="1"/>
  <c r="Q78" i="1" s="1"/>
  <c r="BF26" i="1"/>
  <c r="BF65" i="1" s="1"/>
  <c r="BF67" i="1" s="1"/>
  <c r="S78" i="1" s="1"/>
  <c r="O53" i="1"/>
  <c r="O57" i="1" s="1"/>
  <c r="AF65" i="1"/>
  <c r="AS67" i="1"/>
  <c r="BD67" i="1"/>
  <c r="AF67" i="1"/>
  <c r="O77" i="1"/>
  <c r="O80" i="1" s="1"/>
  <c r="AQ65" i="1" l="1"/>
  <c r="Q53" i="1"/>
  <c r="Q57" i="1" s="1"/>
  <c r="Q59" i="1" s="1"/>
  <c r="BB65" i="1"/>
  <c r="S53" i="1"/>
  <c r="S57" i="1" s="1"/>
  <c r="Z53" i="1"/>
  <c r="Z58" i="1" s="1"/>
  <c r="O59" i="1"/>
  <c r="S77" i="1"/>
  <c r="S80" i="1" s="1"/>
  <c r="BB67" i="1"/>
  <c r="Q77" i="1"/>
  <c r="Q80" i="1" s="1"/>
  <c r="AQ67" i="1"/>
  <c r="W57" i="1" l="1"/>
  <c r="X57" i="1" s="1"/>
  <c r="S59" i="1"/>
  <c r="W59" i="1" s="1"/>
  <c r="X59" i="1" l="1"/>
  <c r="U66"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tmedina</author>
    <author>Smith, Meaghan</author>
    <author>Chan, Eric</author>
    <author>Smith</author>
  </authors>
  <commentList>
    <comment ref="T6" authorId="0" shapeId="0" xr:uid="{00000000-0006-0000-0000-000001000000}">
      <text>
        <r>
          <rPr>
            <sz val="8"/>
            <color indexed="81"/>
            <rFont val="Tahoma"/>
            <family val="2"/>
          </rPr>
          <t>Insert # of days for duration for each Phase</t>
        </r>
      </text>
    </comment>
    <comment ref="M21" authorId="1" shapeId="0" xr:uid="{6CE27A79-74CB-44F1-A561-25318240F8CC}">
      <text>
        <r>
          <rPr>
            <b/>
            <sz val="9"/>
            <color indexed="81"/>
            <rFont val="Tahoma"/>
            <family val="2"/>
          </rPr>
          <t>Input amount in appropriate column on Purple LEGAL FEES Tab within this workbook.</t>
        </r>
      </text>
    </comment>
    <comment ref="M22" authorId="1" shapeId="0" xr:uid="{6151CD44-859E-404B-8572-5E7AE481E976}">
      <text>
        <r>
          <rPr>
            <b/>
            <sz val="9"/>
            <color indexed="81"/>
            <rFont val="Tahoma"/>
            <family val="2"/>
          </rPr>
          <t>Input amount in appropriate column on FINANCIAL Tab within this workbook</t>
        </r>
      </text>
    </comment>
    <comment ref="AC28" authorId="0" shapeId="0" xr:uid="{00000000-0006-0000-0000-000002000000}">
      <text>
        <r>
          <rPr>
            <b/>
            <sz val="8"/>
            <color indexed="81"/>
            <rFont val="Tahoma"/>
            <family val="2"/>
          </rPr>
          <t>CPDC:</t>
        </r>
        <r>
          <rPr>
            <sz val="8"/>
            <color indexed="81"/>
            <rFont val="Tahoma"/>
            <family val="2"/>
          </rPr>
          <t xml:space="preserve">
Updated per BU-10-01 DSA Fee Increase</t>
        </r>
      </text>
    </comment>
    <comment ref="AN28" authorId="0" shapeId="0" xr:uid="{00000000-0006-0000-0000-000003000000}">
      <text>
        <r>
          <rPr>
            <b/>
            <sz val="8"/>
            <color indexed="81"/>
            <rFont val="Tahoma"/>
            <family val="2"/>
          </rPr>
          <t>CPDC:</t>
        </r>
        <r>
          <rPr>
            <sz val="8"/>
            <color indexed="81"/>
            <rFont val="Tahoma"/>
            <family val="2"/>
          </rPr>
          <t xml:space="preserve">
Updated per BU-10-01 DSA Fee Increase</t>
        </r>
      </text>
    </comment>
    <comment ref="AY28" authorId="0" shapeId="0" xr:uid="{D4FB674C-6887-4429-8609-A3573A8FCA75}">
      <text>
        <r>
          <rPr>
            <b/>
            <sz val="8"/>
            <color indexed="81"/>
            <rFont val="Tahoma"/>
            <family val="2"/>
          </rPr>
          <t>CPDC:</t>
        </r>
        <r>
          <rPr>
            <sz val="8"/>
            <color indexed="81"/>
            <rFont val="Tahoma"/>
            <family val="2"/>
          </rPr>
          <t xml:space="preserve">
Updated per BU-10-01 DSA Fee Increase</t>
        </r>
      </text>
    </comment>
    <comment ref="BJ28" authorId="0" shapeId="0" xr:uid="{44A40C6A-4EE8-472D-BC08-32CEFA3AE630}">
      <text>
        <r>
          <rPr>
            <b/>
            <sz val="8"/>
            <color indexed="81"/>
            <rFont val="Tahoma"/>
            <family val="2"/>
          </rPr>
          <t>CPDC:</t>
        </r>
        <r>
          <rPr>
            <sz val="8"/>
            <color indexed="81"/>
            <rFont val="Tahoma"/>
            <family val="2"/>
          </rPr>
          <t xml:space="preserve">
Updated per BU-10-01 DSA Fee Increase</t>
        </r>
      </text>
    </comment>
    <comment ref="O39" authorId="1" shapeId="0" xr:uid="{F2ECB5A5-E1F3-4796-AAAA-A7C9872B0E54}">
      <text>
        <r>
          <rPr>
            <sz val="9"/>
            <color indexed="81"/>
            <rFont val="Tahoma"/>
            <charset val="1"/>
          </rPr>
          <t>15% flat for all delivery methods based on CSUSM @ 13% and CSUN at 20%</t>
        </r>
      </text>
    </comment>
    <comment ref="Q39" authorId="1" shapeId="0" xr:uid="{0A794063-237D-46AA-9006-83312D5720D4}">
      <text>
        <r>
          <rPr>
            <sz val="9"/>
            <color indexed="81"/>
            <rFont val="Tahoma"/>
            <charset val="1"/>
          </rPr>
          <t>15% flat for all delivery methods based on CSUSM @ 13% and CSUN at 20%</t>
        </r>
      </text>
    </comment>
    <comment ref="S39" authorId="1" shapeId="0" xr:uid="{6A424779-CA79-4A0B-B33D-AEC5337F9B29}">
      <text>
        <r>
          <rPr>
            <sz val="9"/>
            <color indexed="81"/>
            <rFont val="Tahoma"/>
            <charset val="1"/>
          </rPr>
          <t>15% flat for all delivery methods based on CSUSM @ 13% and CSUN at 20%</t>
        </r>
      </text>
    </comment>
    <comment ref="U39" authorId="1" shapeId="0" xr:uid="{5A0374A2-57FF-40E1-943D-48C483773ABB}">
      <text>
        <r>
          <rPr>
            <sz val="9"/>
            <color indexed="81"/>
            <rFont val="Tahoma"/>
            <charset val="1"/>
          </rPr>
          <t>15% flat for all delivery methods based on CSUSM @ 13% and CSUN at 20%</t>
        </r>
      </text>
    </comment>
    <comment ref="C45" authorId="1" shapeId="0" xr:uid="{69670F62-40CF-48D6-8966-63847FC9C399}">
      <text>
        <r>
          <rPr>
            <b/>
            <sz val="9"/>
            <color indexed="81"/>
            <rFont val="Tahoma"/>
            <family val="2"/>
          </rPr>
          <t>Smith, Meaghan:</t>
        </r>
        <r>
          <rPr>
            <sz val="9"/>
            <color indexed="81"/>
            <rFont val="Tahoma"/>
            <family val="2"/>
          </rPr>
          <t xml:space="preserve">
Add line or new section for breakdown of campus AND developer contract management costs</t>
        </r>
      </text>
    </comment>
    <comment ref="AD46" authorId="0" shapeId="0" xr:uid="{00000000-0006-0000-0000-00000B000000}">
      <text>
        <r>
          <rPr>
            <b/>
            <sz val="8"/>
            <color indexed="81"/>
            <rFont val="Tahoma"/>
            <family val="2"/>
          </rPr>
          <t>CPDC:</t>
        </r>
        <r>
          <rPr>
            <sz val="8"/>
            <color indexed="81"/>
            <rFont val="Tahoma"/>
            <family val="2"/>
          </rPr>
          <t xml:space="preserve">
Sea-Level Rise analysis required per EO S-13-08 for low elevation or COASTAL AREAS. Campus to identify additional costs to design to recommended standards</t>
        </r>
      </text>
    </comment>
    <comment ref="AO46" authorId="0" shapeId="0" xr:uid="{00000000-0006-0000-0000-00000C000000}">
      <text>
        <r>
          <rPr>
            <b/>
            <sz val="8"/>
            <color indexed="81"/>
            <rFont val="Tahoma"/>
            <family val="2"/>
          </rPr>
          <t>CPDC:</t>
        </r>
        <r>
          <rPr>
            <sz val="8"/>
            <color indexed="81"/>
            <rFont val="Tahoma"/>
            <family val="2"/>
          </rPr>
          <t xml:space="preserve">
Sea-Level Rise analysis required per EO S-13-08 for low elevation or COASTAL AREAS. Campus to identify additional costs to design to recommended standards</t>
        </r>
      </text>
    </comment>
    <comment ref="AZ46" authorId="0" shapeId="0" xr:uid="{4328C7B3-AD38-45D9-9BE0-838218A449DC}">
      <text>
        <r>
          <rPr>
            <b/>
            <sz val="8"/>
            <color indexed="81"/>
            <rFont val="Tahoma"/>
            <family val="2"/>
          </rPr>
          <t>CPDC:</t>
        </r>
        <r>
          <rPr>
            <sz val="8"/>
            <color indexed="81"/>
            <rFont val="Tahoma"/>
            <family val="2"/>
          </rPr>
          <t xml:space="preserve">
Sea-Level Rise analysis required per EO S-13-08 for low elevation or COASTAL AREAS. Campus to identify additional costs to design to recommended standards</t>
        </r>
      </text>
    </comment>
    <comment ref="BK46" authorId="0" shapeId="0" xr:uid="{3381E6C7-E991-4FDE-BF53-AD7ED31859A5}">
      <text>
        <r>
          <rPr>
            <b/>
            <sz val="8"/>
            <color indexed="81"/>
            <rFont val="Tahoma"/>
            <family val="2"/>
          </rPr>
          <t>CPDC:</t>
        </r>
        <r>
          <rPr>
            <sz val="8"/>
            <color indexed="81"/>
            <rFont val="Tahoma"/>
            <family val="2"/>
          </rPr>
          <t xml:space="preserve">
Sea-Level Rise analysis required per EO S-13-08 for low elevation or COASTAL AREAS. Campus to identify additional costs to design to recommended standards</t>
        </r>
      </text>
    </comment>
    <comment ref="AD47" authorId="0" shapeId="0" xr:uid="{00000000-0006-0000-0000-00000D000000}">
      <text>
        <r>
          <rPr>
            <b/>
            <sz val="8"/>
            <color indexed="81"/>
            <rFont val="Tahoma"/>
            <family val="2"/>
          </rPr>
          <t>CPDC:</t>
        </r>
        <r>
          <rPr>
            <sz val="8"/>
            <color indexed="81"/>
            <rFont val="Tahoma"/>
            <family val="2"/>
          </rPr>
          <t xml:space="preserve">
Identifies requirements per SWRCB 2009-009-DWQ</t>
        </r>
      </text>
    </comment>
    <comment ref="AJ47" authorId="0" shapeId="0" xr:uid="{00000000-0006-0000-0000-00000E000000}">
      <text>
        <r>
          <rPr>
            <b/>
            <sz val="8"/>
            <color indexed="81"/>
            <rFont val="Tahoma"/>
            <family val="2"/>
          </rPr>
          <t>CPDC:</t>
        </r>
        <r>
          <rPr>
            <sz val="8"/>
            <color indexed="81"/>
            <rFont val="Tahoma"/>
            <family val="2"/>
          </rPr>
          <t xml:space="preserve">
Calculation Includes:
- QSP/QSD Design Services 
- Permit
</t>
        </r>
      </text>
    </comment>
    <comment ref="AK47" authorId="0" shapeId="0" xr:uid="{00000000-0006-0000-0000-00000F000000}">
      <text>
        <r>
          <rPr>
            <b/>
            <sz val="8"/>
            <color indexed="81"/>
            <rFont val="Tahoma"/>
            <family val="2"/>
          </rPr>
          <t>CPDC:</t>
        </r>
        <r>
          <rPr>
            <sz val="8"/>
            <color indexed="81"/>
            <rFont val="Tahoma"/>
            <family val="2"/>
          </rPr>
          <t xml:space="preserve">
Calculation Includes:
-TESTING/INSPECTIONS (est $608 per #rainy days)
-DOCUMENTATION of Binders (est$325 per mo)
-REPORTING: REAPS, Logs, SMART,etc..
-TRAINING</t>
        </r>
      </text>
    </comment>
    <comment ref="AO47" authorId="0" shapeId="0" xr:uid="{00000000-0006-0000-0000-000010000000}">
      <text>
        <r>
          <rPr>
            <b/>
            <sz val="8"/>
            <color indexed="81"/>
            <rFont val="Tahoma"/>
            <family val="2"/>
          </rPr>
          <t>CPDC:</t>
        </r>
        <r>
          <rPr>
            <sz val="8"/>
            <color indexed="81"/>
            <rFont val="Tahoma"/>
            <family val="2"/>
          </rPr>
          <t xml:space="preserve">
Identifies requirements per SWRCB 2009-009-DWQ</t>
        </r>
      </text>
    </comment>
    <comment ref="AZ47" authorId="0" shapeId="0" xr:uid="{3510E6E1-6AF7-4814-90F3-7784EDD380B8}">
      <text>
        <r>
          <rPr>
            <b/>
            <sz val="8"/>
            <color indexed="81"/>
            <rFont val="Tahoma"/>
            <family val="2"/>
          </rPr>
          <t>CPDC:</t>
        </r>
        <r>
          <rPr>
            <sz val="8"/>
            <color indexed="81"/>
            <rFont val="Tahoma"/>
            <family val="2"/>
          </rPr>
          <t xml:space="preserve">
Identifies requirements per SWRCB 2009-009-DWQ</t>
        </r>
      </text>
    </comment>
    <comment ref="BK47" authorId="0" shapeId="0" xr:uid="{4E1FB7BE-0719-476B-AAD3-506C046C6689}">
      <text>
        <r>
          <rPr>
            <b/>
            <sz val="8"/>
            <color indexed="81"/>
            <rFont val="Tahoma"/>
            <family val="2"/>
          </rPr>
          <t>CPDC:</t>
        </r>
        <r>
          <rPr>
            <sz val="8"/>
            <color indexed="81"/>
            <rFont val="Tahoma"/>
            <family val="2"/>
          </rPr>
          <t xml:space="preserve">
Identifies requirements per SWRCB 2009-009-DWQ</t>
        </r>
      </text>
    </comment>
    <comment ref="H52" authorId="0" shapeId="0" xr:uid="{00000000-0006-0000-0000-000017000000}">
      <text>
        <r>
          <rPr>
            <b/>
            <sz val="8"/>
            <color indexed="81"/>
            <rFont val="Tahoma"/>
            <family val="2"/>
          </rPr>
          <t xml:space="preserve">Per BOT approved FEIR:
</t>
        </r>
        <r>
          <rPr>
            <sz val="8"/>
            <color indexed="81"/>
            <rFont val="Tahoma"/>
            <family val="2"/>
          </rPr>
          <t>Cost identifying negotiated mitigation cost per the BOT approved Master Plan (CEQA/FEIR)</t>
        </r>
      </text>
    </comment>
    <comment ref="AD57" authorId="2" shapeId="0" xr:uid="{00000000-0006-0000-0000-000011000000}">
      <text>
        <r>
          <rPr>
            <sz val="9"/>
            <color indexed="81"/>
            <rFont val="Tahoma"/>
            <family val="2"/>
          </rPr>
          <t>Work with LUPER/DGS for  cost estimates</t>
        </r>
      </text>
    </comment>
    <comment ref="AO57" authorId="2" shapeId="0" xr:uid="{00000000-0006-0000-0000-000012000000}">
      <text>
        <r>
          <rPr>
            <sz val="9"/>
            <color indexed="81"/>
            <rFont val="Tahoma"/>
            <family val="2"/>
          </rPr>
          <t>Work with LUPER/DGS for  cost estimates</t>
        </r>
      </text>
    </comment>
    <comment ref="AZ57" authorId="2" shapeId="0" xr:uid="{A44ED6BF-2785-4906-8109-EB1C222AAC39}">
      <text>
        <r>
          <rPr>
            <sz val="9"/>
            <color indexed="81"/>
            <rFont val="Tahoma"/>
            <family val="2"/>
          </rPr>
          <t>Work with LUPER/DGS for  cost estimates</t>
        </r>
      </text>
    </comment>
    <comment ref="BK57" authorId="2" shapeId="0" xr:uid="{89869AB0-A921-43BD-B78A-4A45EA6DF658}">
      <text>
        <r>
          <rPr>
            <sz val="9"/>
            <color indexed="81"/>
            <rFont val="Tahoma"/>
            <family val="2"/>
          </rPr>
          <t>Work with LUPER/DGS for  cost estimates</t>
        </r>
      </text>
    </comment>
    <comment ref="E58" authorId="3" shapeId="0" xr:uid="{00000000-0006-0000-0000-000018000000}">
      <text>
        <r>
          <rPr>
            <sz val="8"/>
            <color indexed="81"/>
            <rFont val="Tahoma"/>
            <family val="2"/>
          </rPr>
          <t>Per Feasibility Study or transfer calculated estimate costs from "USER INPUT" tab</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tmedina</author>
  </authors>
  <commentList>
    <comment ref="L66" authorId="0" shapeId="0" xr:uid="{00000000-0006-0000-0100-000001000000}">
      <text>
        <r>
          <rPr>
            <b/>
            <sz val="10"/>
            <color indexed="81"/>
            <rFont val="Tahoma"/>
            <family val="2"/>
          </rPr>
          <t>CPDC:</t>
        </r>
        <r>
          <rPr>
            <sz val="10"/>
            <color indexed="81"/>
            <rFont val="Tahoma"/>
            <family val="2"/>
          </rPr>
          <t xml:space="preserve">
Interpolates range of highest and lowest possible values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tmedina</author>
  </authors>
  <commentList>
    <comment ref="B31" authorId="0" shapeId="0" xr:uid="{00000000-0006-0000-0600-000001000000}">
      <text>
        <r>
          <rPr>
            <b/>
            <sz val="8"/>
            <color indexed="81"/>
            <rFont val="Tahoma"/>
            <family val="2"/>
          </rPr>
          <t xml:space="preserve">Standard Delay in Construction Coverage under BRIP only.  </t>
        </r>
        <r>
          <rPr>
            <sz val="8"/>
            <color indexed="81"/>
            <rFont val="Tahoma"/>
            <family val="2"/>
          </rPr>
          <t xml:space="preserve">This is </t>
        </r>
        <r>
          <rPr>
            <u/>
            <sz val="8"/>
            <color indexed="81"/>
            <rFont val="Tahoma"/>
            <family val="2"/>
          </rPr>
          <t>not</t>
        </r>
        <r>
          <rPr>
            <sz val="8"/>
            <color indexed="81"/>
            <rFont val="Tahoma"/>
            <family val="2"/>
          </rPr>
          <t xml:space="preserve"> "Delay in Opening" Coverage. This is delay caused by "Natural Peril" (Fire, water, weather, etc.). </t>
        </r>
        <r>
          <rPr>
            <sz val="10"/>
            <color indexed="81"/>
            <rFont val="Tahoma"/>
            <family val="2"/>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tmedina</author>
  </authors>
  <commentList>
    <comment ref="G22" authorId="0" shapeId="0" xr:uid="{00000000-0006-0000-0700-000001000000}">
      <text>
        <r>
          <rPr>
            <b/>
            <sz val="8"/>
            <color indexed="81"/>
            <rFont val="Tahoma"/>
            <family val="2"/>
          </rPr>
          <t>CPDC:</t>
        </r>
        <r>
          <rPr>
            <sz val="8"/>
            <color indexed="81"/>
            <rFont val="Tahoma"/>
            <family val="2"/>
          </rPr>
          <t xml:space="preserve">
Based on GSF of proposed</t>
        </r>
      </text>
    </comment>
    <comment ref="J22" authorId="0" shapeId="0" xr:uid="{00000000-0006-0000-0700-000002000000}">
      <text>
        <r>
          <rPr>
            <b/>
            <sz val="8"/>
            <color indexed="81"/>
            <rFont val="Tahoma"/>
            <family val="2"/>
          </rPr>
          <t>CPDC:</t>
        </r>
        <r>
          <rPr>
            <sz val="8"/>
            <color indexed="81"/>
            <rFont val="Tahoma"/>
            <family val="2"/>
          </rPr>
          <t xml:space="preserve">
Incl concrete transformer pad</t>
        </r>
      </text>
    </comment>
    <comment ref="G23" authorId="0" shapeId="0" xr:uid="{00000000-0006-0000-0700-000003000000}">
      <text>
        <r>
          <rPr>
            <b/>
            <sz val="8"/>
            <color indexed="81"/>
            <rFont val="Tahoma"/>
            <family val="2"/>
          </rPr>
          <t>CPDC:</t>
        </r>
        <r>
          <rPr>
            <sz val="8"/>
            <color indexed="81"/>
            <rFont val="Tahoma"/>
            <family val="2"/>
          </rPr>
          <t xml:space="preserve">
Based on GSF of proposed</t>
        </r>
      </text>
    </comment>
    <comment ref="G24" authorId="0" shapeId="0" xr:uid="{00000000-0006-0000-0700-000004000000}">
      <text>
        <r>
          <rPr>
            <b/>
            <sz val="8"/>
            <color indexed="81"/>
            <rFont val="Tahoma"/>
            <family val="2"/>
          </rPr>
          <t>CPDC:</t>
        </r>
        <r>
          <rPr>
            <sz val="8"/>
            <color indexed="81"/>
            <rFont val="Tahoma"/>
            <family val="2"/>
          </rPr>
          <t xml:space="preserve">
Based on GSF of proposed. 50% redundancy est of 2W/SF</t>
        </r>
      </text>
    </comment>
    <comment ref="L42" authorId="0" shapeId="0" xr:uid="{00000000-0006-0000-0700-000005000000}">
      <text>
        <r>
          <rPr>
            <b/>
            <sz val="8"/>
            <color indexed="81"/>
            <rFont val="Tahoma"/>
            <family val="2"/>
          </rPr>
          <t xml:space="preserve">CPDC:
</t>
        </r>
        <r>
          <rPr>
            <sz val="8"/>
            <color indexed="81"/>
            <rFont val="Tahoma"/>
            <family val="2"/>
          </rPr>
          <t>est 6" pipe, excavation &amp; backfill</t>
        </r>
      </text>
    </comment>
    <comment ref="L53" authorId="0" shapeId="0" xr:uid="{00000000-0006-0000-0700-000006000000}">
      <text>
        <r>
          <rPr>
            <b/>
            <sz val="8"/>
            <color indexed="81"/>
            <rFont val="Tahoma"/>
            <family val="2"/>
          </rPr>
          <t>CPDC:</t>
        </r>
        <r>
          <rPr>
            <sz val="8"/>
            <color indexed="81"/>
            <rFont val="Tahoma"/>
            <family val="2"/>
          </rPr>
          <t xml:space="preserve">
est 8" pipe excavation &amp; backfill</t>
        </r>
      </text>
    </comment>
    <comment ref="L54" authorId="0" shapeId="0" xr:uid="{00000000-0006-0000-0700-000007000000}">
      <text>
        <r>
          <rPr>
            <b/>
            <sz val="8"/>
            <color indexed="81"/>
            <rFont val="Tahoma"/>
            <family val="2"/>
          </rPr>
          <t>CPDC:</t>
        </r>
        <r>
          <rPr>
            <sz val="8"/>
            <color indexed="81"/>
            <rFont val="Tahoma"/>
            <family val="2"/>
          </rPr>
          <t xml:space="preserve">
est 48" manhole</t>
        </r>
      </text>
    </comment>
    <comment ref="L90" authorId="0" shapeId="0" xr:uid="{00000000-0006-0000-0700-000008000000}">
      <text>
        <r>
          <rPr>
            <b/>
            <sz val="8"/>
            <color indexed="81"/>
            <rFont val="Tahoma"/>
            <family val="2"/>
          </rPr>
          <t xml:space="preserve">CPDC: </t>
        </r>
        <r>
          <rPr>
            <sz val="8"/>
            <color indexed="81"/>
            <rFont val="Tahoma"/>
            <family val="2"/>
          </rPr>
          <t>est 8" S/R line</t>
        </r>
      </text>
    </comment>
    <comment ref="L100" authorId="0" shapeId="0" xr:uid="{00000000-0006-0000-0700-000009000000}">
      <text>
        <r>
          <rPr>
            <b/>
            <sz val="8"/>
            <color indexed="81"/>
            <rFont val="Tahoma"/>
            <family val="2"/>
          </rPr>
          <t>CPDC:</t>
        </r>
        <r>
          <rPr>
            <b/>
            <sz val="8"/>
            <color indexed="81"/>
            <rFont val="Tahoma"/>
            <family val="2"/>
          </rPr>
          <t xml:space="preserve"> est</t>
        </r>
        <r>
          <rPr>
            <b/>
            <sz val="8"/>
            <color indexed="81"/>
            <rFont val="Tahoma"/>
            <family val="2"/>
          </rPr>
          <t xml:space="preserve">
</t>
        </r>
        <r>
          <rPr>
            <sz val="8"/>
            <color indexed="81"/>
            <rFont val="Tahoma"/>
            <family val="2"/>
          </rPr>
          <t>4" Polyethylene Pipe</t>
        </r>
        <r>
          <rPr>
            <b/>
            <sz val="8"/>
            <color indexed="81"/>
            <rFont val="Tahoma"/>
            <family val="2"/>
          </rPr>
          <t xml:space="preserve">
</t>
        </r>
        <r>
          <rPr>
            <sz val="8"/>
            <color indexed="81"/>
            <rFont val="Tahoma"/>
            <family val="2"/>
          </rPr>
          <t xml:space="preserve">
</t>
        </r>
      </text>
    </comment>
    <comment ref="L122" authorId="0" shapeId="0" xr:uid="{00000000-0006-0000-0700-00000A000000}">
      <text>
        <r>
          <rPr>
            <b/>
            <sz val="8"/>
            <color indexed="81"/>
            <rFont val="Tahoma"/>
            <family val="2"/>
          </rPr>
          <t xml:space="preserve">CPDC: </t>
        </r>
        <r>
          <rPr>
            <sz val="8"/>
            <color indexed="81"/>
            <rFont val="Tahoma"/>
            <family val="2"/>
          </rPr>
          <t>est 6" pump 2,000 gpm, 100psi diesel</t>
        </r>
      </text>
    </comment>
    <comment ref="L126" authorId="0" shapeId="0" xr:uid="{00000000-0006-0000-0700-00000B000000}">
      <text>
        <r>
          <rPr>
            <b/>
            <sz val="8"/>
            <color indexed="81"/>
            <rFont val="Tahoma"/>
            <family val="2"/>
          </rPr>
          <t xml:space="preserve">CPDC: </t>
        </r>
        <r>
          <rPr>
            <sz val="8"/>
            <color indexed="81"/>
            <rFont val="Tahoma"/>
            <family val="2"/>
          </rPr>
          <t>est
Class 200 PVC pipe</t>
        </r>
        <r>
          <rPr>
            <b/>
            <sz val="8"/>
            <color indexed="81"/>
            <rFont val="Tahoma"/>
            <family val="2"/>
          </rPr>
          <t xml:space="preserv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tmedina</author>
  </authors>
  <commentList>
    <comment ref="A35" authorId="0" shapeId="0" xr:uid="{00000000-0006-0000-0800-000001000000}">
      <text>
        <r>
          <rPr>
            <b/>
            <sz val="8"/>
            <color indexed="81"/>
            <rFont val="Tahoma"/>
            <family val="2"/>
          </rPr>
          <t>1% Construction Claims Program (CCP)</t>
        </r>
        <r>
          <rPr>
            <sz val="8"/>
            <color indexed="81"/>
            <rFont val="Tahoma"/>
            <family val="2"/>
          </rPr>
          <t xml:space="preserve"> 
Risk Pool for Streamlined projects only (302s). Reference CMR Guidelines: Chap 1, Art B. </t>
        </r>
        <r>
          <rPr>
            <sz val="10"/>
            <color indexed="81"/>
            <rFont val="Tahoma"/>
            <family val="2"/>
          </rPr>
          <t xml:space="preserve">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tmedina</author>
  </authors>
  <commentList>
    <comment ref="S2" authorId="0" shapeId="0" xr:uid="{00000000-0006-0000-0900-000001000000}">
      <text>
        <r>
          <rPr>
            <sz val="8"/>
            <color indexed="81"/>
            <rFont val="Tahoma"/>
            <family val="2"/>
          </rPr>
          <t xml:space="preserve">IF ADDING: SORT DATA for VLOOKUP otherwise it will NOT work.
</t>
        </r>
      </text>
    </comment>
    <comment ref="BB2" authorId="0" shapeId="0" xr:uid="{00000000-0006-0000-0900-000002000000}">
      <text>
        <r>
          <rPr>
            <sz val="8"/>
            <color indexed="81"/>
            <rFont val="Tahoma"/>
            <family val="2"/>
          </rPr>
          <t xml:space="preserve">IF ADDING: SORT DATA for VLOOKUP otherwise it will NOT work.
</t>
        </r>
      </text>
    </comment>
    <comment ref="AS3" authorId="0" shapeId="0" xr:uid="{00000000-0006-0000-0900-000003000000}">
      <text>
        <r>
          <rPr>
            <b/>
            <sz val="8"/>
            <color indexed="81"/>
            <rFont val="Tahoma"/>
            <family val="2"/>
          </rPr>
          <t>tmedina:</t>
        </r>
        <r>
          <rPr>
            <sz val="8"/>
            <color indexed="81"/>
            <rFont val="Tahoma"/>
            <family val="2"/>
          </rPr>
          <t xml:space="preserve">
Work around for VLOOKUP rounding limitations. Values indicates median point between the two GSF values.</t>
        </r>
      </text>
    </comment>
    <comment ref="AU3" authorId="0" shapeId="0" xr:uid="{00000000-0006-0000-0900-000004000000}">
      <text>
        <r>
          <rPr>
            <b/>
            <sz val="8"/>
            <color indexed="81"/>
            <rFont val="Tahoma"/>
            <family val="2"/>
          </rPr>
          <t>tmedina:</t>
        </r>
        <r>
          <rPr>
            <sz val="8"/>
            <color indexed="81"/>
            <rFont val="Tahoma"/>
            <family val="2"/>
          </rPr>
          <t xml:space="preserve">
Incl. transformer pad</t>
        </r>
      </text>
    </comment>
    <comment ref="AV3" authorId="0" shapeId="0" xr:uid="{00000000-0006-0000-0900-000005000000}">
      <text>
        <r>
          <rPr>
            <b/>
            <sz val="8"/>
            <color indexed="81"/>
            <rFont val="Tahoma"/>
            <family val="2"/>
          </rPr>
          <t>tmedina:</t>
        </r>
        <r>
          <rPr>
            <sz val="8"/>
            <color indexed="81"/>
            <rFont val="Tahoma"/>
            <family val="2"/>
          </rPr>
          <t xml:space="preserve">
incl Auto Transfer Switch</t>
        </r>
      </text>
    </comment>
    <comment ref="AX3" authorId="0" shapeId="0" xr:uid="{00000000-0006-0000-0900-000006000000}">
      <text>
        <r>
          <rPr>
            <b/>
            <sz val="8"/>
            <color indexed="81"/>
            <rFont val="Tahoma"/>
            <family val="2"/>
          </rPr>
          <t>tmedina:</t>
        </r>
        <r>
          <rPr>
            <sz val="8"/>
            <color indexed="81"/>
            <rFont val="Tahoma"/>
            <family val="2"/>
          </rPr>
          <t xml:space="preserve">
2W per GSF</t>
        </r>
      </text>
    </comment>
    <comment ref="AY3" authorId="0" shapeId="0" xr:uid="{00000000-0006-0000-0900-000007000000}">
      <text>
        <r>
          <rPr>
            <b/>
            <sz val="8"/>
            <color indexed="81"/>
            <rFont val="Tahoma"/>
            <family val="2"/>
          </rPr>
          <t>tmedina:</t>
        </r>
        <r>
          <rPr>
            <sz val="8"/>
            <color indexed="81"/>
            <rFont val="Tahoma"/>
            <family val="2"/>
          </rPr>
          <t xml:space="preserve">
$400 per kW</t>
        </r>
      </text>
    </comment>
    <comment ref="AZ3" authorId="0" shapeId="0" xr:uid="{00000000-0006-0000-0900-000008000000}">
      <text>
        <r>
          <rPr>
            <b/>
            <sz val="8"/>
            <color indexed="81"/>
            <rFont val="Tahoma"/>
            <family val="2"/>
          </rPr>
          <t>tmedina:</t>
        </r>
        <r>
          <rPr>
            <sz val="8"/>
            <color indexed="81"/>
            <rFont val="Tahoma"/>
            <family val="2"/>
          </rPr>
          <t xml:space="preserve">
$400 per kVA</t>
        </r>
      </text>
    </comment>
    <comment ref="BC3" authorId="0" shapeId="0" xr:uid="{00000000-0006-0000-0900-000009000000}">
      <text>
        <r>
          <rPr>
            <b/>
            <sz val="8"/>
            <color indexed="81"/>
            <rFont val="Tahoma"/>
            <family val="2"/>
          </rPr>
          <t>CPDC:</t>
        </r>
        <r>
          <rPr>
            <sz val="8"/>
            <color indexed="81"/>
            <rFont val="Tahoma"/>
            <family val="2"/>
          </rPr>
          <t xml:space="preserve">
Data used to calc SWPPP QSP Services</t>
        </r>
      </text>
    </comment>
    <comment ref="F19" authorId="0" shapeId="0" xr:uid="{00000000-0006-0000-0900-00000A000000}">
      <text>
        <r>
          <rPr>
            <b/>
            <sz val="8"/>
            <color indexed="81"/>
            <rFont val="Tahoma"/>
            <family val="2"/>
          </rPr>
          <t>Per SAM Section 6818</t>
        </r>
      </text>
    </comment>
    <comment ref="AE35" authorId="0" shapeId="0" xr:uid="{00000000-0006-0000-0900-00000B000000}">
      <text>
        <r>
          <rPr>
            <b/>
            <sz val="8"/>
            <color indexed="81"/>
            <rFont val="Tahoma"/>
            <family val="2"/>
          </rPr>
          <t>per Costguide:</t>
        </r>
        <r>
          <rPr>
            <sz val="8"/>
            <color indexed="81"/>
            <rFont val="Tahoma"/>
            <family val="2"/>
          </rPr>
          <t xml:space="preserve">
Included in GSF $
</t>
        </r>
      </text>
    </comment>
    <comment ref="U36" authorId="0" shapeId="0" xr:uid="{00000000-0006-0000-0900-00000C000000}">
      <text>
        <r>
          <rPr>
            <sz val="8"/>
            <color indexed="81"/>
            <rFont val="Tahoma"/>
            <family val="2"/>
          </rPr>
          <t xml:space="preserve">Includes: 
Construction Services @ C
</t>
        </r>
        <r>
          <rPr>
            <sz val="10"/>
            <color indexed="81"/>
            <rFont val="Tahoma"/>
            <family val="2"/>
          </rPr>
          <t xml:space="preserve">
</t>
        </r>
      </text>
    </comment>
    <comment ref="X36" authorId="0" shapeId="0" xr:uid="{00000000-0006-0000-0900-00000D000000}">
      <text>
        <r>
          <rPr>
            <sz val="8"/>
            <color indexed="81"/>
            <rFont val="Tahoma"/>
            <family val="2"/>
          </rPr>
          <t xml:space="preserve">Includes: 
Construction Services @ C
</t>
        </r>
        <r>
          <rPr>
            <sz val="10"/>
            <color indexed="81"/>
            <rFont val="Tahoma"/>
            <family val="2"/>
          </rPr>
          <t xml:space="preserve">
</t>
        </r>
      </text>
    </comment>
    <comment ref="AE39" authorId="0" shapeId="0" xr:uid="{00000000-0006-0000-0900-00000E000000}">
      <text>
        <r>
          <rPr>
            <b/>
            <sz val="8"/>
            <color indexed="81"/>
            <rFont val="Tahoma"/>
            <family val="2"/>
          </rPr>
          <t>per Costguide:</t>
        </r>
        <r>
          <rPr>
            <sz val="8"/>
            <color indexed="81"/>
            <rFont val="Tahoma"/>
            <family val="2"/>
          </rPr>
          <t xml:space="preserve">
Included in GSF $
</t>
        </r>
      </text>
    </comment>
    <comment ref="S54" authorId="0" shapeId="0" xr:uid="{00000000-0006-0000-0900-00000F000000}">
      <text>
        <r>
          <rPr>
            <b/>
            <sz val="8"/>
            <color indexed="81"/>
            <rFont val="Tahoma"/>
            <family val="2"/>
          </rPr>
          <t xml:space="preserve">PROJECT CONTINGENCY:
</t>
        </r>
        <r>
          <rPr>
            <sz val="8"/>
            <color indexed="81"/>
            <rFont val="Tahoma"/>
            <family val="2"/>
          </rPr>
          <t xml:space="preserve">For Reno Calc: 2% +NC (typ)
</t>
        </r>
        <r>
          <rPr>
            <sz val="10"/>
            <color indexed="81"/>
            <rFont val="Tahoma"/>
            <family val="2"/>
          </rPr>
          <t xml:space="preserve">
</t>
        </r>
      </text>
    </comment>
  </commentList>
</comments>
</file>

<file path=xl/sharedStrings.xml><?xml version="1.0" encoding="utf-8"?>
<sst xmlns="http://schemas.openxmlformats.org/spreadsheetml/2006/main" count="2842" uniqueCount="1253">
  <si>
    <t>CPDC Proj No:</t>
  </si>
  <si>
    <t>THE CALIFORNIA STATE UNIVERSITY</t>
  </si>
  <si>
    <t>Developer Funded</t>
  </si>
  <si>
    <t>Campus Funded</t>
  </si>
  <si>
    <t>Auxiliary Funded</t>
  </si>
  <si>
    <t>Other Funded</t>
  </si>
  <si>
    <t>Project Type:</t>
  </si>
  <si>
    <t>PUBLIC PRIVATE PARTNERSHIP</t>
  </si>
  <si>
    <t xml:space="preserve"> CAPITAL  OUTLAY  ESTIMATE (Form CPDC 2-7)</t>
  </si>
  <si>
    <t>ANALYSIS AND</t>
  </si>
  <si>
    <t>SUMMARY OF FEES</t>
  </si>
  <si>
    <t>CAPITAL OUTLAY ESTIMATE (FORM CPDC 2-7)</t>
  </si>
  <si>
    <t xml:space="preserve">CAPITAL OUTLAY ESTIMATE (Form CPDC 2-7) </t>
  </si>
  <si>
    <t>Project Schedule</t>
  </si>
  <si>
    <t>Duration</t>
  </si>
  <si>
    <t>Date:</t>
  </si>
  <si>
    <t xml:space="preserve"> </t>
  </si>
  <si>
    <t>Campus:</t>
  </si>
  <si>
    <t>SELECT CAMPUS</t>
  </si>
  <si>
    <t>Project Started</t>
  </si>
  <si>
    <t>@</t>
  </si>
  <si>
    <t>Budget Year:</t>
  </si>
  <si>
    <t>2020/21</t>
  </si>
  <si>
    <t xml:space="preserve">COST PER GSF </t>
  </si>
  <si>
    <t>Campus</t>
  </si>
  <si>
    <t>Date</t>
  </si>
  <si>
    <t>Project:</t>
  </si>
  <si>
    <t>[ PROJECT NAME ]</t>
  </si>
  <si>
    <t>LDRC Concept</t>
  </si>
  <si>
    <t xml:space="preserve">CCCI: </t>
  </si>
  <si>
    <t>W/ PRORATA OF</t>
  </si>
  <si>
    <t>Project</t>
  </si>
  <si>
    <t>CCCI:</t>
  </si>
  <si>
    <t>CCCI</t>
  </si>
  <si>
    <t>Developer:</t>
  </si>
  <si>
    <t>[Developer Name]</t>
  </si>
  <si>
    <t>Concept Approval (BOT)</t>
  </si>
  <si>
    <t xml:space="preserve">EPI: </t>
  </si>
  <si>
    <t>GC / OH+P / Ins</t>
  </si>
  <si>
    <t>Arch/Engr:</t>
  </si>
  <si>
    <t>[ AE Firm Name ]</t>
  </si>
  <si>
    <t>LDRC (Final)</t>
  </si>
  <si>
    <t>Contractor:</t>
  </si>
  <si>
    <t>[ Contractor Company Name ]</t>
  </si>
  <si>
    <t>Development Agreement (BOT)</t>
  </si>
  <si>
    <t>New Const</t>
  </si>
  <si>
    <t>FOR BOT</t>
  </si>
  <si>
    <t>REQUIRED BASIC SERVICES</t>
  </si>
  <si>
    <t>PWC</t>
  </si>
  <si>
    <t>P</t>
  </si>
  <si>
    <t>W</t>
  </si>
  <si>
    <t>C</t>
  </si>
  <si>
    <t>Delivery Type:</t>
  </si>
  <si>
    <t>DESIGN-BUILD</t>
  </si>
  <si>
    <t>Capital Outlay Amend (BOT)</t>
  </si>
  <si>
    <t>Net Area</t>
  </si>
  <si>
    <t>Phase:</t>
  </si>
  <si>
    <t>SCHEMATIC</t>
  </si>
  <si>
    <t>Schematics Approval (BOT)</t>
  </si>
  <si>
    <t>Gross Area</t>
  </si>
  <si>
    <t>Construction Started (NTP)........................................................................................................</t>
  </si>
  <si>
    <t>Efficiency:</t>
  </si>
  <si>
    <t>Construction Completed (NOC)........................................................................................................</t>
  </si>
  <si>
    <t>Total Project Duration (Calendar Days)</t>
  </si>
  <si>
    <t>REQUIRED ADDITIONAL SERVICES</t>
  </si>
  <si>
    <t>REAL ESTATE, DUE DILIGENCE &amp; FINANCE FEES</t>
  </si>
  <si>
    <t>DEVELOPER</t>
  </si>
  <si>
    <t>CAMPUS</t>
  </si>
  <si>
    <t>AUXILIARY</t>
  </si>
  <si>
    <t>OTHER</t>
  </si>
  <si>
    <t>TOTAL</t>
  </si>
  <si>
    <t>Appraisal……………………………………………………………………………………………………………………………….</t>
  </si>
  <si>
    <t>$</t>
  </si>
  <si>
    <t>SPECIALTY CONSULTANTS</t>
  </si>
  <si>
    <t>Title Report………………………………………………………………………………………………………</t>
  </si>
  <si>
    <t>SELECT CONSULTANT</t>
  </si>
  <si>
    <t>CEQA/EIR Consultant…………………………………………………………………………………………………………….</t>
  </si>
  <si>
    <t>Legal Counsel…………………………………………………………………………………………………..</t>
  </si>
  <si>
    <t>Financial Consultant……………………………………………………………………………………………………….</t>
  </si>
  <si>
    <t>Finance Fees (itemized on page 2)……………………………………………………………………………………………………………….</t>
  </si>
  <si>
    <t>1.</t>
  </si>
  <si>
    <t>TOTAL REAL ESTATE, DUE DILIGENCE &amp; FINANCE FEES……………………………………………………………………………………………</t>
  </si>
  <si>
    <t>AGENCY CODE APPROVALS/COMPLIANCE + CSU/STATE POLICY'S</t>
  </si>
  <si>
    <t>APPROVALS + CODE COMPLIANCE + CSU/STATE MANDATES</t>
  </si>
  <si>
    <t xml:space="preserve">BUILDING </t>
  </si>
  <si>
    <t>$/sq.ft.</t>
  </si>
  <si>
    <t>Mechanical Review Board (MRB)</t>
  </si>
  <si>
    <t>A</t>
  </si>
  <si>
    <t xml:space="preserve">   SUBSTRUCTURE....................................................................................................................................................................…</t>
  </si>
  <si>
    <t>Plan Check</t>
  </si>
  <si>
    <t>B</t>
  </si>
  <si>
    <t xml:space="preserve">   SHELL....................................................................................................................................................................…</t>
  </si>
  <si>
    <t>DSA Review</t>
  </si>
  <si>
    <t xml:space="preserve">   INTERIORS....................................................................................................................................................................…</t>
  </si>
  <si>
    <t>CASp Inspections</t>
  </si>
  <si>
    <t>D</t>
  </si>
  <si>
    <t xml:space="preserve">   BUILDING SERVICES....................................................................................................................................................................…</t>
  </si>
  <si>
    <t>State Fire Marshal and CSU Fire Safety</t>
  </si>
  <si>
    <t>E</t>
  </si>
  <si>
    <t xml:space="preserve">   EQUIPMENT AND FURNISHINGS....................................................................................................................................................................…</t>
  </si>
  <si>
    <t>Seismic Peer Review Board (SRB)</t>
  </si>
  <si>
    <t>F</t>
  </si>
  <si>
    <t xml:space="preserve">   SPECIAL CONSTRUCTION &amp; DEMOLITION....................................................................................................................................................................…</t>
  </si>
  <si>
    <t>Local Fire Dept Fees</t>
  </si>
  <si>
    <t>F60</t>
  </si>
  <si>
    <t xml:space="preserve">   GENERAL REQUIREMENTS - Building……………………………………………………..</t>
  </si>
  <si>
    <t>2.</t>
  </si>
  <si>
    <t>TOTAL BUILDING....................................................................................................................................................................…</t>
  </si>
  <si>
    <t>TYPICAL PROJECT ADDITIONAL SERVICES</t>
  </si>
  <si>
    <t>3.</t>
  </si>
  <si>
    <t>TOTAL SITEWORK....................................................................................................................................................................…</t>
  </si>
  <si>
    <t>Sustainable Registration/Certification Fees</t>
  </si>
  <si>
    <t>4.</t>
  </si>
  <si>
    <t>SUBTOTAL: BUILDING and SITEWORK ...................................…………………………………………………….</t>
  </si>
  <si>
    <t>Sustainable Documentation/Verification</t>
  </si>
  <si>
    <t>5.</t>
  </si>
  <si>
    <t>Escalation to midpoint of Construction....................................................................................................................................................................…</t>
  </si>
  <si>
    <t>Bldg+GC+Ins</t>
  </si>
  <si>
    <t>Design Honorarium (Design-Build)</t>
  </si>
  <si>
    <t>6.</t>
  </si>
  <si>
    <t>SUBTOTAL: BUILDING, SITEWORK AND ESCALATION...................................………………</t>
  </si>
  <si>
    <t xml:space="preserve">Survey </t>
  </si>
  <si>
    <t>Survey</t>
  </si>
  <si>
    <t>7.</t>
  </si>
  <si>
    <t xml:space="preserve">Z10  </t>
  </si>
  <si>
    <t>Soils</t>
  </si>
  <si>
    <t>8.</t>
  </si>
  <si>
    <t>Building</t>
  </si>
  <si>
    <t>$/GSF</t>
  </si>
  <si>
    <t>Field Investigation</t>
  </si>
  <si>
    <t>Prorata Cost</t>
  </si>
  <si>
    <t>Destructive Testing</t>
  </si>
  <si>
    <t>9.</t>
  </si>
  <si>
    <t>FEES &amp; CONTINGENCY (Basic Services)…………………………………………….……………………</t>
  </si>
  <si>
    <t>Prorata GC/Ins</t>
  </si>
  <si>
    <t>Hazardous Material Survey/Bid Documents</t>
  </si>
  <si>
    <t>a.</t>
  </si>
  <si>
    <t>Total Bldg</t>
  </si>
  <si>
    <t>Hazardous Material Monitoring</t>
  </si>
  <si>
    <t>b.</t>
  </si>
  <si>
    <t>Commissioning</t>
  </si>
  <si>
    <t>c.</t>
  </si>
  <si>
    <t>Campus Contract Management Services................................................................................................................................................................</t>
  </si>
  <si>
    <t>Site</t>
  </si>
  <si>
    <t>BIM Model Conformed to CAFM</t>
  </si>
  <si>
    <t>d.</t>
  </si>
  <si>
    <t>Campus Project Contingency....................................................................................................................................................................................................</t>
  </si>
  <si>
    <t>Sea-Level Rise (Flood Control)</t>
  </si>
  <si>
    <t>e.</t>
  </si>
  <si>
    <t>Developer Fee……………………………………………………………..</t>
  </si>
  <si>
    <t>SWPPP QSD/QSP Services</t>
  </si>
  <si>
    <t>f.</t>
  </si>
  <si>
    <t>Total Fees &amp; Contingency...........................................................................................................…</t>
  </si>
  <si>
    <t>Total Site</t>
  </si>
  <si>
    <r>
      <t xml:space="preserve">Design Assist </t>
    </r>
    <r>
      <rPr>
        <sz val="9"/>
        <color indexed="10"/>
        <rFont val="Arial"/>
        <family val="2"/>
      </rPr>
      <t>Addition</t>
    </r>
    <r>
      <rPr>
        <sz val="9"/>
        <rFont val="Arial"/>
        <family val="2"/>
      </rPr>
      <t xml:space="preserve"> to Preliminary Phase</t>
    </r>
  </si>
  <si>
    <t>10.</t>
  </si>
  <si>
    <t>SUBTOTAL: CONSTRUCTION COST, FEES &amp; CONTINGENCY (Items 7 &amp; 8e)...........................................................................................................................................................................................................</t>
  </si>
  <si>
    <r>
      <t xml:space="preserve">Design Assist </t>
    </r>
    <r>
      <rPr>
        <sz val="9"/>
        <color indexed="10"/>
        <rFont val="Arial"/>
        <family val="2"/>
      </rPr>
      <t>Reduction</t>
    </r>
    <r>
      <rPr>
        <sz val="9"/>
        <rFont val="Arial"/>
        <family val="2"/>
      </rPr>
      <t xml:space="preserve"> to Construction Phase</t>
    </r>
  </si>
  <si>
    <t>BLDG + SITE</t>
  </si>
  <si>
    <t>CAMPUS SPECIFIC ADDITIONAL FEES</t>
  </si>
  <si>
    <t>11.</t>
  </si>
  <si>
    <t>CEQA On-Site/Off-Site Mitigation.................................................................................................................................................................................................\</t>
  </si>
  <si>
    <t>[ Insert additional project specific costs ]</t>
  </si>
  <si>
    <t>12.</t>
  </si>
  <si>
    <t>Required Additional Services During PW Phase....................................................................................................................................................................…</t>
  </si>
  <si>
    <t>13.</t>
  </si>
  <si>
    <t>Required Additional Services During Construction....................................................................................................................................................................…</t>
  </si>
  <si>
    <t>SOFT COSTS + DUE DLGNCE</t>
  </si>
  <si>
    <t>FEES + CONTINGENCY +</t>
  </si>
  <si>
    <t>ESCALATION</t>
  </si>
  <si>
    <t>14.</t>
  </si>
  <si>
    <t>SUBTOTAL: PROJECT COST incl. Real Estate, Due Diligence, &amp; Finance.........................................................................................................................</t>
  </si>
  <si>
    <t>FINANCE</t>
  </si>
  <si>
    <t>ACQUISITION: DUE DILIGENCE FEES</t>
  </si>
  <si>
    <t>15.</t>
  </si>
  <si>
    <t>Group II Equipment................................................................................................................................................................................................................</t>
  </si>
  <si>
    <t>Appraisal</t>
  </si>
  <si>
    <t>16.</t>
  </si>
  <si>
    <t>TOTAL: PROJECT COST incl. Group II Equipment .........................................................................................................................</t>
  </si>
  <si>
    <t>Title Insurance, Escrow Fee</t>
  </si>
  <si>
    <t>Environmental Site Assessment (ESA)</t>
  </si>
  <si>
    <t>17.</t>
  </si>
  <si>
    <t>Project Funds</t>
  </si>
  <si>
    <t>Relocation Assistance Program (RAP)</t>
  </si>
  <si>
    <t>Attorney General Fees</t>
  </si>
  <si>
    <t>DGS Fee</t>
  </si>
  <si>
    <t xml:space="preserve">c. </t>
  </si>
  <si>
    <t xml:space="preserve">d. </t>
  </si>
  <si>
    <t>TOTAL ADDITIONAL SERVICES</t>
  </si>
  <si>
    <t>18.</t>
  </si>
  <si>
    <t xml:space="preserve"> Additional Funds Required (Item 15 minus Items 16a thru 16e) .....................................................................................................................................…</t>
  </si>
  <si>
    <t>TOTAL BASIC + ADDITIONAL SERVICES</t>
  </si>
  <si>
    <t>19.</t>
  </si>
  <si>
    <t xml:space="preserve">  Project Fund Schedule</t>
  </si>
  <si>
    <t>CSU</t>
  </si>
  <si>
    <t>FINANCE FEES</t>
  </si>
  <si>
    <t xml:space="preserve">Received prior to </t>
  </si>
  <si>
    <t>...........................................………</t>
  </si>
  <si>
    <t>[Insert specitic finance fees]</t>
  </si>
  <si>
    <t xml:space="preserve">Requested for </t>
  </si>
  <si>
    <t xml:space="preserve">Requested after </t>
  </si>
  <si>
    <t>Developer</t>
  </si>
  <si>
    <t>Other</t>
  </si>
  <si>
    <t>Finance Fees Subtotal</t>
  </si>
  <si>
    <t>MANDATED COLLECTED FEES</t>
  </si>
  <si>
    <t>Elvyra F. San Juan, Assistant Vice Chancellor</t>
  </si>
  <si>
    <t>CPDC Fee (0.5%)</t>
  </si>
  <si>
    <t>The California State University, Capital Planning, Design and Construction</t>
  </si>
  <si>
    <t>TOTAL:</t>
  </si>
  <si>
    <t>BASELINE ESTIMATE MODIFIER</t>
  </si>
  <si>
    <t>EPI</t>
  </si>
  <si>
    <t>YEAR Cost Estimate Generated</t>
  </si>
  <si>
    <t>2019/20</t>
  </si>
  <si>
    <t>OUTYEAR CALCULATIONS</t>
  </si>
  <si>
    <t>GROUP I</t>
  </si>
  <si>
    <t>GROUP II</t>
  </si>
  <si>
    <t xml:space="preserve">FACILITY </t>
  </si>
  <si>
    <t>RENOV</t>
  </si>
  <si>
    <t>EQUIPMENT</t>
  </si>
  <si>
    <t>TYPE</t>
  </si>
  <si>
    <t>SPACE TYPE</t>
  </si>
  <si>
    <t>ASF</t>
  </si>
  <si>
    <t>EFF %</t>
  </si>
  <si>
    <t>GSF</t>
  </si>
  <si>
    <t>USE 67%</t>
  </si>
  <si>
    <t>$ / GSF</t>
  </si>
  <si>
    <t>BLDG $</t>
  </si>
  <si>
    <t>GRP I %</t>
  </si>
  <si>
    <t>$ / ASF</t>
  </si>
  <si>
    <t>RENOV 50%</t>
  </si>
  <si>
    <t>AE FEE</t>
  </si>
  <si>
    <t>SELECT SPACE TYPE</t>
  </si>
  <si>
    <t>[ INSERT SPACE TYPE (NON-CAPACITY) ]</t>
  </si>
  <si>
    <t>SPACE TYPE (PER UNIT)</t>
  </si>
  <si>
    <t>UNIT</t>
  </si>
  <si>
    <t>$ / UNIT</t>
  </si>
  <si>
    <t>For Outyear Projects: PLUG these values onto page 1:</t>
  </si>
  <si>
    <t>Line D</t>
  </si>
  <si>
    <t>Line E</t>
  </si>
  <si>
    <t>Line 14</t>
  </si>
  <si>
    <t>CSU BUILDER'S RISK INSURANCE PROGRAM (BRIP)</t>
  </si>
  <si>
    <t>Construction Project Enrollment Form</t>
  </si>
  <si>
    <t>Construction beginning July 1, 2018 to June 30, 2019</t>
  </si>
  <si>
    <t>(Enter all values highlighted in yellow.)</t>
  </si>
  <si>
    <r>
      <t xml:space="preserve">Project Delivery Method: </t>
    </r>
    <r>
      <rPr>
        <sz val="10"/>
        <rFont val="Arial"/>
        <family val="2"/>
      </rPr>
      <t>(check one)</t>
    </r>
  </si>
  <si>
    <r>
      <rPr>
        <sz val="9"/>
        <color indexed="8"/>
        <rFont val="Wingdings"/>
        <charset val="2"/>
      </rPr>
      <t>þ</t>
    </r>
    <r>
      <rPr>
        <sz val="9"/>
        <color indexed="8"/>
        <rFont val="Arial"/>
        <family val="2"/>
      </rPr>
      <t xml:space="preserve">  Design-Bid-Build</t>
    </r>
  </si>
  <si>
    <r>
      <rPr>
        <sz val="9"/>
        <color indexed="8"/>
        <rFont val="Wingdings"/>
        <charset val="2"/>
      </rPr>
      <t>o</t>
    </r>
    <r>
      <rPr>
        <sz val="9"/>
        <color indexed="8"/>
        <rFont val="Arial"/>
        <family val="2"/>
      </rPr>
      <t xml:space="preserve">  Design-Build</t>
    </r>
  </si>
  <si>
    <r>
      <rPr>
        <sz val="9"/>
        <color indexed="8"/>
        <rFont val="Wingdings"/>
        <charset val="2"/>
      </rPr>
      <t>o</t>
    </r>
    <r>
      <rPr>
        <sz val="9"/>
        <color indexed="8"/>
        <rFont val="Arial"/>
        <family val="2"/>
      </rPr>
      <t xml:space="preserve">  Collaborative Design-Build</t>
    </r>
  </si>
  <si>
    <r>
      <rPr>
        <sz val="9"/>
        <color indexed="8"/>
        <rFont val="Wingdings"/>
        <charset val="2"/>
      </rPr>
      <t>o</t>
    </r>
    <r>
      <rPr>
        <sz val="9"/>
        <color indexed="8"/>
        <rFont val="Arial"/>
        <family val="2"/>
      </rPr>
      <t xml:space="preserve">  CM at Risk</t>
    </r>
  </si>
  <si>
    <t>Project Information:</t>
  </si>
  <si>
    <t>Auxiliary Organization:</t>
  </si>
  <si>
    <t>Project Name:</t>
  </si>
  <si>
    <t>CPDC Project #:</t>
  </si>
  <si>
    <t>Campus Project #:</t>
  </si>
  <si>
    <t>Project Location:</t>
  </si>
  <si>
    <t># Stories above grade:</t>
  </si>
  <si>
    <t>Project Description:</t>
  </si>
  <si>
    <t># Stories below grade:</t>
  </si>
  <si>
    <t>General Contractor:</t>
  </si>
  <si>
    <t>Total Sq. Ft. (building):</t>
  </si>
  <si>
    <r>
      <t xml:space="preserve">Funding Source: </t>
    </r>
    <r>
      <rPr>
        <sz val="10"/>
        <rFont val="Arial"/>
        <family val="2"/>
      </rPr>
      <t>(check all that apply)</t>
    </r>
  </si>
  <si>
    <t>o</t>
  </si>
  <si>
    <t>General Obligation Bond</t>
  </si>
  <si>
    <t>Donor</t>
  </si>
  <si>
    <t>Lease Revenue Bond</t>
  </si>
  <si>
    <t>Auxiliary</t>
  </si>
  <si>
    <t>þ</t>
  </si>
  <si>
    <t>Systemwide Revenue Bond</t>
  </si>
  <si>
    <t>Other (specify):</t>
  </si>
  <si>
    <r>
      <t xml:space="preserve">PREMIUM RATE TABLE
Construction Class
</t>
    </r>
    <r>
      <rPr>
        <i/>
        <sz val="8"/>
        <rFont val="Arial"/>
        <family val="2"/>
      </rPr>
      <t xml:space="preserve">(Select one for largest component and insert in line </t>
    </r>
    <r>
      <rPr>
        <b/>
        <i/>
        <sz val="8"/>
        <rFont val="Arial"/>
        <family val="2"/>
      </rPr>
      <t>F</t>
    </r>
    <r>
      <rPr>
        <i/>
        <sz val="8"/>
        <rFont val="Arial"/>
        <family val="2"/>
      </rPr>
      <t xml:space="preserve"> below.)</t>
    </r>
  </si>
  <si>
    <t>New Construction or Nonseismic Renovation</t>
  </si>
  <si>
    <t>Seismic Renovation</t>
  </si>
  <si>
    <t>Wood Frame Construction (over $10,000,000)</t>
  </si>
  <si>
    <t>Site Work (non-seismic)</t>
  </si>
  <si>
    <t>Wood Frame Construction (up to $10,000,000)</t>
  </si>
  <si>
    <t>Other (non-seismic)</t>
  </si>
  <si>
    <t>Masonry Construction</t>
  </si>
  <si>
    <t>N/A</t>
  </si>
  <si>
    <t>Other (seismic)</t>
  </si>
  <si>
    <t>All Other Construction (describe on next line)</t>
  </si>
  <si>
    <t>Masonry (non-seismic)</t>
  </si>
  <si>
    <t>DESCRIBE:</t>
  </si>
  <si>
    <t>(fill in only if rate for All Other Construction is selected.)</t>
  </si>
  <si>
    <t>Masonry (seismic)</t>
  </si>
  <si>
    <t>Site Preparation</t>
  </si>
  <si>
    <t>Wood Frame up to $10mm (non-seismic)</t>
  </si>
  <si>
    <r>
      <t>OPTION: Delay in Construction Coverage</t>
    </r>
    <r>
      <rPr>
        <b/>
        <sz val="9"/>
        <rFont val="Arial"/>
        <family val="2"/>
      </rPr>
      <t xml:space="preserve"> </t>
    </r>
    <r>
      <rPr>
        <sz val="9"/>
        <rFont val="Arial"/>
        <family val="2"/>
      </rPr>
      <t>(all construction classes)</t>
    </r>
  </si>
  <si>
    <t>Wood Frame $10mm-$25mm (non-seismic)</t>
  </si>
  <si>
    <t>ESTIMATED PREMIUM CALCULATION</t>
  </si>
  <si>
    <t>Wood Frame up to $10mm (seismic)</t>
  </si>
  <si>
    <r>
      <t>(Enter values in yellow highlighted lines</t>
    </r>
    <r>
      <rPr>
        <i/>
        <sz val="8"/>
        <rFont val="Arial"/>
        <family val="2"/>
      </rPr>
      <t>. Remaining fields will automatically populate.)</t>
    </r>
  </si>
  <si>
    <t>Wood Frame $10mm-$25mm (seismic)</t>
  </si>
  <si>
    <t>A.</t>
  </si>
  <si>
    <t>Start of Construction - per NTP (mm/dd/yy)</t>
  </si>
  <si>
    <t>B.</t>
  </si>
  <si>
    <t>Completion of Construction - per NTP (mm/dd/yy)</t>
  </si>
  <si>
    <t>C.</t>
  </si>
  <si>
    <t>Construction Cost (Line 7 from '2-7)</t>
  </si>
  <si>
    <t>The following to be DEDUCTED from Line C:</t>
  </si>
  <si>
    <t/>
  </si>
  <si>
    <t>C1. Design Costs Included in Construction Cost Estimate</t>
  </si>
  <si>
    <t>D.</t>
  </si>
  <si>
    <t>Construction Cost (C - C1)</t>
  </si>
  <si>
    <t>E.</t>
  </si>
  <si>
    <r>
      <t>Optional Delay in Construction Coverage;</t>
    </r>
    <r>
      <rPr>
        <sz val="8"/>
        <rFont val="Arial"/>
        <family val="2"/>
      </rPr>
      <t xml:space="preserve"> indicate value to be insured for Loss of Rental Income-&gt;</t>
    </r>
  </si>
  <si>
    <t>F.</t>
  </si>
  <si>
    <r>
      <t>Applicable Premium Rate</t>
    </r>
    <r>
      <rPr>
        <sz val="9"/>
        <rFont val="Arial"/>
        <family val="2"/>
      </rPr>
      <t xml:space="preserve"> (from Premium Rate Table, based on D. Construction Cost)</t>
    </r>
  </si>
  <si>
    <t>G.</t>
  </si>
  <si>
    <t>Number of Coverage Days = (B - A + 1)</t>
  </si>
  <si>
    <t>H.</t>
  </si>
  <si>
    <t>Construction Coverage Premium = (D x Rate/100 x G/365)</t>
  </si>
  <si>
    <t>I.</t>
  </si>
  <si>
    <t>Delay in Construction Premium = (E x Rate/100 x G/365)</t>
  </si>
  <si>
    <t>J.</t>
  </si>
  <si>
    <t>Insurance Taxes/Fees = (H + I) x 3.2%</t>
  </si>
  <si>
    <t>K.</t>
  </si>
  <si>
    <t>BRIP Insurance Cost = (sum of lines H, I, J)</t>
  </si>
  <si>
    <t>M.</t>
  </si>
  <si>
    <t>CSU Construction Project Seismic Fund = (D x 0.1%)</t>
  </si>
  <si>
    <t>N.</t>
  </si>
  <si>
    <r>
      <t xml:space="preserve">TOTAL COST </t>
    </r>
    <r>
      <rPr>
        <sz val="10"/>
        <rFont val="Arial"/>
        <family val="2"/>
      </rPr>
      <t>= (sum of lines K, L, M)</t>
    </r>
  </si>
  <si>
    <t xml:space="preserve">  (Submitted by)</t>
  </si>
  <si>
    <t xml:space="preserve">  (Date)</t>
  </si>
  <si>
    <t xml:space="preserve">  (E-mail)</t>
  </si>
  <si>
    <t xml:space="preserve">  (Phone)</t>
  </si>
  <si>
    <t>For Questions and to submit completed Enrollment Form, contact:</t>
  </si>
  <si>
    <t>Chancellor's Office, CPDC:</t>
  </si>
  <si>
    <t>CSURMA:</t>
  </si>
  <si>
    <t xml:space="preserve">  Barbara Nicholson / Teri Carr </t>
  </si>
  <si>
    <r>
      <rPr>
        <i/>
        <sz val="9"/>
        <rFont val="Arial"/>
        <family val="2"/>
      </rPr>
      <t>Fax:</t>
    </r>
    <r>
      <rPr>
        <sz val="9"/>
        <rFont val="Arial"/>
        <family val="2"/>
      </rPr>
      <t xml:space="preserve">  (562) 951-4921</t>
    </r>
  </si>
  <si>
    <t xml:space="preserve">  Rob Leong</t>
  </si>
  <si>
    <r>
      <t xml:space="preserve">   E-mail:</t>
    </r>
    <r>
      <rPr>
        <sz val="10"/>
        <rFont val="Arial"/>
        <family val="2"/>
      </rPr>
      <t xml:space="preserve">  cocm@calstate.edu</t>
    </r>
    <r>
      <rPr>
        <sz val="10"/>
        <rFont val="Arial"/>
        <family val="2"/>
      </rPr>
      <t xml:space="preserve">   (Enter "BRIP" in subject line)</t>
    </r>
  </si>
  <si>
    <r>
      <t xml:space="preserve">  </t>
    </r>
    <r>
      <rPr>
        <i/>
        <sz val="8"/>
        <rFont val="Arial"/>
        <family val="2"/>
      </rPr>
      <t>E-mail:</t>
    </r>
    <r>
      <rPr>
        <sz val="9"/>
        <rFont val="Arial"/>
        <family val="2"/>
      </rPr>
      <t xml:space="preserve"> </t>
    </r>
    <r>
      <rPr>
        <sz val="10"/>
        <rFont val="Arial"/>
        <family val="2"/>
      </rPr>
      <t xml:space="preserve"> rleong@alliant.com</t>
    </r>
  </si>
  <si>
    <r>
      <t xml:space="preserve">  </t>
    </r>
    <r>
      <rPr>
        <i/>
        <sz val="8"/>
        <rFont val="Arial"/>
        <family val="2"/>
      </rPr>
      <t>Phone:</t>
    </r>
    <r>
      <rPr>
        <sz val="9"/>
        <rFont val="Arial"/>
        <family val="2"/>
      </rPr>
      <t xml:space="preserve"> (</t>
    </r>
    <r>
      <rPr>
        <sz val="10"/>
        <rFont val="Arial"/>
        <family val="2"/>
      </rPr>
      <t xml:space="preserve">562) 951-4117 (Nicholson) or (562) 951-4114 (Carr)   </t>
    </r>
    <r>
      <rPr>
        <i/>
        <sz val="8"/>
        <rFont val="Arial"/>
        <family val="2"/>
      </rPr>
      <t/>
    </r>
  </si>
  <si>
    <r>
      <t xml:space="preserve">  </t>
    </r>
    <r>
      <rPr>
        <i/>
        <sz val="8"/>
        <rFont val="Arial"/>
        <family val="2"/>
      </rPr>
      <t>Phone:</t>
    </r>
    <r>
      <rPr>
        <i/>
        <sz val="9"/>
        <rFont val="Arial"/>
        <family val="2"/>
      </rPr>
      <t xml:space="preserve"> (</t>
    </r>
    <r>
      <rPr>
        <sz val="10"/>
        <rFont val="Arial"/>
        <family val="2"/>
      </rPr>
      <t xml:space="preserve">415) 403-1441   </t>
    </r>
    <r>
      <rPr>
        <i/>
        <sz val="8"/>
        <rFont val="Arial"/>
        <family val="2"/>
      </rPr>
      <t>Fax:</t>
    </r>
    <r>
      <rPr>
        <sz val="9"/>
        <rFont val="Arial"/>
        <family val="2"/>
      </rPr>
      <t xml:space="preserve"> (</t>
    </r>
    <r>
      <rPr>
        <sz val="10"/>
        <rFont val="Arial"/>
        <family val="2"/>
      </rPr>
      <t>415) 402-0773</t>
    </r>
  </si>
  <si>
    <r>
      <rPr>
        <sz val="9"/>
        <color indexed="8"/>
        <rFont val="Wingdings"/>
        <charset val="2"/>
      </rPr>
      <t>¨</t>
    </r>
    <r>
      <rPr>
        <sz val="9"/>
        <color indexed="8"/>
        <rFont val="Arial"/>
        <family val="2"/>
      </rPr>
      <t xml:space="preserve">  Design-Bid-Build</t>
    </r>
  </si>
  <si>
    <r>
      <rPr>
        <sz val="9"/>
        <color indexed="8"/>
        <rFont val="Wingdings"/>
        <charset val="2"/>
      </rPr>
      <t>þ</t>
    </r>
    <r>
      <rPr>
        <sz val="9"/>
        <color indexed="8"/>
        <rFont val="Arial"/>
        <family val="2"/>
      </rPr>
      <t xml:space="preserve">  Design-Build</t>
    </r>
  </si>
  <si>
    <t>Start of Construction - actual start date of Construction (mm/dd/yy)</t>
  </si>
  <si>
    <t>Construction Cost Including Design Contingency (Line 7 from '2-7)</t>
  </si>
  <si>
    <r>
      <t xml:space="preserve">   E-mail: </t>
    </r>
    <r>
      <rPr>
        <sz val="8"/>
        <rFont val="Arial"/>
        <family val="2"/>
      </rPr>
      <t xml:space="preserve"> </t>
    </r>
    <r>
      <rPr>
        <sz val="10"/>
        <rFont val="Arial"/>
        <family val="2"/>
      </rPr>
      <t>cocm@calstate.edu</t>
    </r>
    <r>
      <rPr>
        <i/>
        <sz val="10"/>
        <rFont val="Arial"/>
        <family val="2"/>
      </rPr>
      <t xml:space="preserve"> </t>
    </r>
    <r>
      <rPr>
        <sz val="10"/>
        <rFont val="Arial"/>
        <family val="2"/>
      </rPr>
      <t xml:space="preserve">  (Enter "BRIP" in subject line)</t>
    </r>
  </si>
  <si>
    <r>
      <rPr>
        <sz val="9"/>
        <color indexed="8"/>
        <rFont val="Wingdings"/>
        <charset val="2"/>
      </rPr>
      <t>þ</t>
    </r>
    <r>
      <rPr>
        <sz val="9"/>
        <color indexed="8"/>
        <rFont val="Arial"/>
        <family val="2"/>
      </rPr>
      <t xml:space="preserve">  Collaborative Design-Build</t>
    </r>
  </si>
  <si>
    <t>Start of Construction - Actual start date of Construction (mm/dd/yy)</t>
  </si>
  <si>
    <t>C1. Design and Preconstruction Fees during Design-Build Phase</t>
  </si>
  <si>
    <r>
      <rPr>
        <sz val="9"/>
        <color indexed="8"/>
        <rFont val="Wingdings"/>
        <charset val="2"/>
      </rPr>
      <t>þ</t>
    </r>
    <r>
      <rPr>
        <sz val="9"/>
        <color indexed="8"/>
        <rFont val="Arial"/>
        <family val="2"/>
      </rPr>
      <t xml:space="preserve">  CM at Risk</t>
    </r>
  </si>
  <si>
    <r>
      <rPr>
        <sz val="9"/>
        <rFont val="Arial"/>
        <family val="2"/>
      </rPr>
      <t>Auxiliary</t>
    </r>
  </si>
  <si>
    <t>OWNER-CONTROLLED INSURANCE PROGRAM (OCIP)</t>
  </si>
  <si>
    <t>Project Enrollment Form</t>
  </si>
  <si>
    <t>Construction beginning July 1, 2014 to June 30, 2015</t>
  </si>
  <si>
    <t>Project #:</t>
  </si>
  <si>
    <t>Funding Source: (select one)</t>
  </si>
  <si>
    <t>State Appropriation (provide):</t>
  </si>
  <si>
    <t>Public Works Bond</t>
  </si>
  <si>
    <r>
      <t>PREMIUM RATE TABLE                                                                        Construction Class</t>
    </r>
    <r>
      <rPr>
        <sz val="10"/>
        <rFont val="Arial"/>
        <family val="2"/>
      </rPr>
      <t xml:space="preserve">                                                                                        </t>
    </r>
    <r>
      <rPr>
        <sz val="9"/>
        <rFont val="Arial"/>
        <family val="2"/>
      </rPr>
      <t xml:space="preserve"> (select one for largest component and insert in </t>
    </r>
    <r>
      <rPr>
        <b/>
        <sz val="9"/>
        <rFont val="Arial"/>
        <family val="2"/>
      </rPr>
      <t>F</t>
    </r>
    <r>
      <rPr>
        <sz val="9"/>
        <rFont val="Arial"/>
        <family val="2"/>
      </rPr>
      <t>. below)</t>
    </r>
  </si>
  <si>
    <t>PREMIUM CALCULATION</t>
  </si>
  <si>
    <r>
      <t>Start of Construction</t>
    </r>
    <r>
      <rPr>
        <sz val="9"/>
        <rFont val="Arial"/>
        <family val="2"/>
      </rPr>
      <t xml:space="preserve"> - estimated (mm/dd/yr)</t>
    </r>
  </si>
  <si>
    <r>
      <t>Completion of Construction</t>
    </r>
    <r>
      <rPr>
        <sz val="9"/>
        <rFont val="Arial"/>
        <family val="2"/>
      </rPr>
      <t xml:space="preserve"> - estimated (mm/dd/yr)</t>
    </r>
  </si>
  <si>
    <t xml:space="preserve">Awarded Contract Amount </t>
  </si>
  <si>
    <t>________</t>
  </si>
  <si>
    <r>
      <t>Construction Cost</t>
    </r>
    <r>
      <rPr>
        <sz val="9"/>
        <rFont val="Arial"/>
        <family val="2"/>
      </rPr>
      <t xml:space="preserve">  (total building cost) Basis for BRIP</t>
    </r>
  </si>
  <si>
    <r>
      <t>GMP Cost</t>
    </r>
    <r>
      <rPr>
        <sz val="9"/>
        <rFont val="Arial"/>
        <family val="2"/>
      </rPr>
      <t xml:space="preserve">  (total building cost + CM OH&amp;P, Const Svc &amp; Contingency) Basis for OCIP</t>
    </r>
  </si>
  <si>
    <r>
      <t>Delay in Construction Coverage</t>
    </r>
    <r>
      <rPr>
        <sz val="9"/>
        <rFont val="Arial"/>
        <family val="2"/>
      </rPr>
      <t xml:space="preserve"> (optional);</t>
    </r>
    <r>
      <rPr>
        <sz val="8"/>
        <rFont val="Arial"/>
        <family val="2"/>
      </rPr>
      <t xml:space="preserve"> Enter value to be insured for Loss of Rental Income-&gt;</t>
    </r>
  </si>
  <si>
    <r>
      <t>Applicable Rate</t>
    </r>
    <r>
      <rPr>
        <sz val="9"/>
        <rFont val="Arial"/>
        <family val="2"/>
      </rPr>
      <t xml:space="preserve"> (from Rate Table, based on D. Construction Cost) </t>
    </r>
    <r>
      <rPr>
        <b/>
        <u/>
        <sz val="9"/>
        <rFont val="Arial"/>
        <family val="2"/>
      </rPr>
      <t>CAMPUS TO SELECT AS NEEDED</t>
    </r>
  </si>
  <si>
    <r>
      <t>Number of Coverage Days</t>
    </r>
    <r>
      <rPr>
        <sz val="9"/>
        <rFont val="Arial"/>
        <family val="2"/>
      </rPr>
      <t xml:space="preserve"> (from A &amp; B)</t>
    </r>
  </si>
  <si>
    <r>
      <t>Construction Coverage Premium</t>
    </r>
    <r>
      <rPr>
        <sz val="9"/>
        <rFont val="Arial"/>
        <family val="2"/>
      </rPr>
      <t xml:space="preserve"> = (D/100) x Rate x (G/366)</t>
    </r>
  </si>
  <si>
    <r>
      <t>Delay in Construction Premium</t>
    </r>
    <r>
      <rPr>
        <sz val="9"/>
        <rFont val="Arial"/>
        <family val="2"/>
      </rPr>
      <t xml:space="preserve"> = (E/100) x Rate x (G/366)</t>
    </r>
  </si>
  <si>
    <r>
      <t>Insurance Taxes/Fees</t>
    </r>
    <r>
      <rPr>
        <sz val="9"/>
        <rFont val="Arial"/>
        <family val="2"/>
      </rPr>
      <t xml:space="preserve"> (3.20%)</t>
    </r>
  </si>
  <si>
    <t>L.</t>
  </si>
  <si>
    <t>BRIP Insurance Cost</t>
  </si>
  <si>
    <r>
      <t>CSU Construction Project Seismic Fund</t>
    </r>
    <r>
      <rPr>
        <sz val="9"/>
        <rFont val="Arial"/>
        <family val="2"/>
      </rPr>
      <t xml:space="preserve"> = (D/100 x .10)</t>
    </r>
  </si>
  <si>
    <r>
      <t>CSU OCIP Premium</t>
    </r>
    <r>
      <rPr>
        <sz val="9"/>
        <color indexed="10"/>
        <rFont val="Arial"/>
        <family val="2"/>
      </rPr>
      <t xml:space="preserve"> = Construction Cost * 2.5%</t>
    </r>
  </si>
  <si>
    <t>O</t>
  </si>
  <si>
    <t>TOTAL INSURANCE COST</t>
  </si>
  <si>
    <t>For Questions and to submit completed Enrollment Form:</t>
  </si>
  <si>
    <r>
      <t>Barbara Nicholson</t>
    </r>
    <r>
      <rPr>
        <sz val="10"/>
        <rFont val="Arial"/>
        <family val="2"/>
      </rPr>
      <t>, Chancellor's Office CPDC</t>
    </r>
  </si>
  <si>
    <r>
      <t>Rob Leong</t>
    </r>
    <r>
      <rPr>
        <sz val="10"/>
        <rFont val="Arial"/>
        <family val="2"/>
      </rPr>
      <t>, CSURMA</t>
    </r>
  </si>
  <si>
    <r>
      <t>Email:</t>
    </r>
    <r>
      <rPr>
        <sz val="10"/>
        <rFont val="Arial"/>
        <family val="2"/>
      </rPr>
      <t xml:space="preserve">   bnicholson@calstate.edu</t>
    </r>
  </si>
  <si>
    <r>
      <t>Email:</t>
    </r>
    <r>
      <rPr>
        <sz val="9"/>
        <rFont val="Arial"/>
        <family val="2"/>
      </rPr>
      <t xml:space="preserve">  </t>
    </r>
    <r>
      <rPr>
        <sz val="10"/>
        <rFont val="Arial"/>
        <family val="2"/>
      </rPr>
      <t>rleong@alliantinsurance.com</t>
    </r>
  </si>
  <si>
    <r>
      <t>P:</t>
    </r>
    <r>
      <rPr>
        <sz val="9"/>
        <rFont val="Arial"/>
        <family val="2"/>
      </rPr>
      <t xml:space="preserve"> </t>
    </r>
    <r>
      <rPr>
        <sz val="10"/>
        <rFont val="Arial"/>
        <family val="2"/>
      </rPr>
      <t xml:space="preserve">562-951-4117     </t>
    </r>
    <r>
      <rPr>
        <i/>
        <sz val="9"/>
        <rFont val="Arial"/>
        <family val="2"/>
      </rPr>
      <t>F:</t>
    </r>
    <r>
      <rPr>
        <sz val="9"/>
        <rFont val="Arial"/>
        <family val="2"/>
      </rPr>
      <t xml:space="preserve"> </t>
    </r>
    <r>
      <rPr>
        <sz val="10"/>
        <rFont val="Arial"/>
        <family val="2"/>
      </rPr>
      <t xml:space="preserve"> 562-951-4921</t>
    </r>
  </si>
  <si>
    <r>
      <t xml:space="preserve">P: </t>
    </r>
    <r>
      <rPr>
        <sz val="10"/>
        <rFont val="Arial"/>
        <family val="2"/>
      </rPr>
      <t xml:space="preserve">415-403-1441 </t>
    </r>
    <r>
      <rPr>
        <i/>
        <sz val="10"/>
        <rFont val="Arial"/>
        <family val="2"/>
      </rPr>
      <t xml:space="preserve"> </t>
    </r>
    <r>
      <rPr>
        <i/>
        <sz val="9"/>
        <rFont val="Arial"/>
        <family val="2"/>
      </rPr>
      <t>F:</t>
    </r>
    <r>
      <rPr>
        <sz val="9"/>
        <rFont val="Arial"/>
        <family val="2"/>
      </rPr>
      <t xml:space="preserve">  </t>
    </r>
    <r>
      <rPr>
        <sz val="10"/>
        <rFont val="Arial"/>
        <family val="2"/>
      </rPr>
      <t>415-402-0773</t>
    </r>
  </si>
  <si>
    <t>CAPITAL PLANNING, DESIGN AND CONSTRUCTION</t>
  </si>
  <si>
    <t>ENERGY AND SITE UTILITIES PLANNING CHECKLIST /ESTIMATE</t>
  </si>
  <si>
    <t>FORM CPDC 2-8</t>
  </si>
  <si>
    <t>CAMPUS:</t>
  </si>
  <si>
    <t>BUDGET YEAR:</t>
  </si>
  <si>
    <t>PROJECT:</t>
  </si>
  <si>
    <t>GSF:</t>
  </si>
  <si>
    <t xml:space="preserve">PHASE: </t>
  </si>
  <si>
    <t>SELECT MILESTONE SUBMITTAL</t>
  </si>
  <si>
    <t>TYPE:</t>
  </si>
  <si>
    <t xml:space="preserve">SELECT </t>
  </si>
  <si>
    <t xml:space="preserve">INSTRUCTIONS: </t>
  </si>
  <si>
    <t>The following checklist presents a series of questions and issues that need to be included when submitting a Capital Outlay Change Proposal (COBCP) for a project for inclusion in the CSU Capital Outlay Program.  Completing this checklist and including the noted costs on Form CPDC 2-7 will result in adequate funding for the projects.  Consult with campus Plant Directors and contact your campus University Facility Planner for questions regarding this checklist.</t>
  </si>
  <si>
    <t>ELECTRICAL SERVICE</t>
  </si>
  <si>
    <t>UNITS</t>
  </si>
  <si>
    <t>ESTIMATE</t>
  </si>
  <si>
    <t>Campus Service Voltage</t>
  </si>
  <si>
    <t>x</t>
  </si>
  <si>
    <t>VOLTS</t>
  </si>
  <si>
    <t>This project will be served by:</t>
  </si>
  <si>
    <t>SELECT PUBLIC UTILITY</t>
  </si>
  <si>
    <t>Has the serving utility provided the connection fee for new service?</t>
  </si>
  <si>
    <t>Yes/No</t>
  </si>
  <si>
    <t>If Yes, provide confirmation letter of utility costs for new service.</t>
  </si>
  <si>
    <t>Building Service Underground Conduit</t>
  </si>
  <si>
    <t>LF</t>
  </si>
  <si>
    <t>Service Transformer:</t>
  </si>
  <si>
    <t>Main Service Switchboard with Metering:</t>
  </si>
  <si>
    <t>Emergency Generator with Auto Transfer Switch:</t>
  </si>
  <si>
    <r>
      <t xml:space="preserve">Uninterrupted Power Service (UPS) - </t>
    </r>
    <r>
      <rPr>
        <i/>
        <sz val="9"/>
        <rFont val="Arial"/>
        <family val="2"/>
      </rPr>
      <t>if required</t>
    </r>
    <r>
      <rPr>
        <sz val="9"/>
        <rFont val="Arial"/>
        <family val="2"/>
      </rPr>
      <t>:</t>
    </r>
  </si>
  <si>
    <t>Distance from electrical main to the nearest point of connection (POC)</t>
  </si>
  <si>
    <t>SUBTOTAL:</t>
  </si>
  <si>
    <t>FIRE ALARM</t>
  </si>
  <si>
    <t>Distance to nearest POC</t>
  </si>
  <si>
    <t>SANITARY SEWER:</t>
  </si>
  <si>
    <t>Has the serving utility provided the connection fee?</t>
  </si>
  <si>
    <t>If Yes, provide confirmation letter of utility charges.</t>
  </si>
  <si>
    <t>Pipe size of the existing main at POC</t>
  </si>
  <si>
    <t>IN DIA</t>
  </si>
  <si>
    <t xml:space="preserve">Estimated pipe size and distance to the nearest POC </t>
  </si>
  <si>
    <t>Number of manholes required (distance/150 feet)</t>
  </si>
  <si>
    <t>EA</t>
  </si>
  <si>
    <t>STORM SEWER:</t>
  </si>
  <si>
    <t>Pipe size of the existing main at point of connection (POC)</t>
  </si>
  <si>
    <t>[ Insert additional specific costs ]</t>
  </si>
  <si>
    <t>HEATING:</t>
  </si>
  <si>
    <t>Is the project connected to the central campus heating system?</t>
  </si>
  <si>
    <t>If No, be sure costs of gas area included in the project.</t>
  </si>
  <si>
    <t>If Yes, does the central plant have adequate capacity to serve this project?</t>
  </si>
  <si>
    <t>If No to above and central plant capacity is inadequate, provide costs associated.</t>
  </si>
  <si>
    <r>
      <t>If feasibility study not yet complete, generic facility type selected above (</t>
    </r>
    <r>
      <rPr>
        <u/>
        <sz val="9"/>
        <color indexed="8"/>
        <rFont val="Arial"/>
        <family val="2"/>
      </rPr>
      <t>Cell K8</t>
    </r>
    <r>
      <rPr>
        <sz val="9"/>
        <color indexed="8"/>
        <rFont val="Arial"/>
        <family val="2"/>
      </rPr>
      <t xml:space="preserve">) will be used as basis </t>
    </r>
  </si>
  <si>
    <t>[Provide description of associated costs to increase plant capacity]</t>
  </si>
  <si>
    <t>[Comment line]</t>
  </si>
  <si>
    <t>Heating Systems:</t>
  </si>
  <si>
    <t>DEG F</t>
  </si>
  <si>
    <t xml:space="preserve">  </t>
  </si>
  <si>
    <t>Separate meter for electrical power as req per AE Procedure Guide</t>
  </si>
  <si>
    <t>COOLING:</t>
  </si>
  <si>
    <t>If No, be sure adequate electrical capacity is included to serve additional equipment</t>
  </si>
  <si>
    <r>
      <t>If feasibility study not yet complete, generic facility type selected above (</t>
    </r>
    <r>
      <rPr>
        <u/>
        <sz val="9"/>
        <color indexed="8"/>
        <rFont val="Arial"/>
        <family val="2"/>
      </rPr>
      <t>Cell K8</t>
    </r>
    <r>
      <rPr>
        <sz val="9"/>
        <color indexed="8"/>
        <rFont val="Arial"/>
        <family val="2"/>
      </rPr>
      <t xml:space="preserve">) will be used. </t>
    </r>
  </si>
  <si>
    <t>Does the campus have thermal energy storage (TES) system?</t>
  </si>
  <si>
    <t>Campus chilled water supply temp</t>
  </si>
  <si>
    <t>Campus chilled water delta temp</t>
  </si>
  <si>
    <t>NATURAL GAS</t>
  </si>
  <si>
    <t>Separate meter for natural gas as req per AE Procedure Guide</t>
  </si>
  <si>
    <t>WATER</t>
  </si>
  <si>
    <t>Yes</t>
  </si>
  <si>
    <t>Does the campus have reclaimed water?</t>
  </si>
  <si>
    <t>If Yes, define estimated daily site irrigation demand.</t>
  </si>
  <si>
    <t>GPD</t>
  </si>
  <si>
    <r>
      <t xml:space="preserve">Distance to the nearest </t>
    </r>
    <r>
      <rPr>
        <sz val="9"/>
        <color indexed="8"/>
        <rFont val="Arial"/>
        <family val="2"/>
      </rPr>
      <t>reclaimed water connection</t>
    </r>
  </si>
  <si>
    <t>Potable water calculation. Insert number of FTE</t>
  </si>
  <si>
    <t>FTE</t>
  </si>
  <si>
    <t>(20 gallons per FTE per day, plus irrigation if no reclaimed water)</t>
  </si>
  <si>
    <t>Does CSU own the campus water distribution?</t>
  </si>
  <si>
    <t>Has this project been discussed with the Fire Dept?</t>
  </si>
  <si>
    <t>Number of Fire Hydrants Requested</t>
  </si>
  <si>
    <t>Has a flow test been performed to determine adequate flow and pressure</t>
  </si>
  <si>
    <t>for the Fire Protection System</t>
  </si>
  <si>
    <t xml:space="preserve">What is the available water flow and pressure at the </t>
  </si>
  <si>
    <t>GPM</t>
  </si>
  <si>
    <t>PSIG</t>
  </si>
  <si>
    <t>project site (bottom of the automatic sprinkler riser)</t>
  </si>
  <si>
    <t>Will water supply be adequate for project potable and fire suppression requirements?</t>
  </si>
  <si>
    <t xml:space="preserve">If No, provide cost of supply system improvements and fire pump </t>
  </si>
  <si>
    <t>Building Service Main Size (include fire protection)</t>
  </si>
  <si>
    <t>IN</t>
  </si>
  <si>
    <t>Separate meter for water as req per AE Procedure Guide</t>
  </si>
  <si>
    <t>Distance to nearest POC (trench and pipe)</t>
  </si>
  <si>
    <t>INFORMATION TECHNOLOGY PLANNING</t>
  </si>
  <si>
    <t>Are building entrance conduits planned for the access to telecom network facilities?</t>
  </si>
  <si>
    <r>
      <t xml:space="preserve">Estimate </t>
    </r>
    <r>
      <rPr>
        <b/>
        <sz val="9"/>
        <color indexed="8"/>
        <rFont val="Arial"/>
        <family val="2"/>
      </rPr>
      <t>CONDUIT</t>
    </r>
    <r>
      <rPr>
        <sz val="9"/>
        <color indexed="8"/>
        <rFont val="Arial"/>
        <family val="2"/>
      </rPr>
      <t xml:space="preserve"> Number, Size and Distance to campus network POC</t>
    </r>
  </si>
  <si>
    <t>VOICE:</t>
  </si>
  <si>
    <t xml:space="preserve">SELECT CABLE MEDIUM </t>
  </si>
  <si>
    <t>600 PAIR</t>
  </si>
  <si>
    <t>AWG</t>
  </si>
  <si>
    <t>DATA:</t>
  </si>
  <si>
    <t>12/12</t>
  </si>
  <si>
    <t>MM/SM</t>
  </si>
  <si>
    <t>VIDEO:</t>
  </si>
  <si>
    <t>Number of pull boxes required (distance/150 feet). Increase if cables do not run in the same trunk</t>
  </si>
  <si>
    <t>NOTES:</t>
  </si>
  <si>
    <r>
      <rPr>
        <b/>
        <u/>
        <sz val="9"/>
        <color indexed="8"/>
        <rFont val="Arial"/>
        <family val="2"/>
      </rPr>
      <t>Inter-Building</t>
    </r>
    <r>
      <rPr>
        <u/>
        <sz val="9"/>
        <color indexed="8"/>
        <rFont val="Arial"/>
        <family val="2"/>
      </rPr>
      <t xml:space="preserve"> Telecommunications Planning: </t>
    </r>
    <r>
      <rPr>
        <sz val="9"/>
        <color indexed="8"/>
        <rFont val="Arial"/>
        <family val="2"/>
      </rPr>
      <t>accommodates infrastructure required to provide access to the campus-wide telecommunications cabling system. These costs as calculated above are to included as Sitework Utility costs.</t>
    </r>
  </si>
  <si>
    <r>
      <rPr>
        <b/>
        <u/>
        <sz val="9"/>
        <color indexed="8"/>
        <rFont val="Arial"/>
        <family val="2"/>
      </rPr>
      <t>Intra-Building</t>
    </r>
    <r>
      <rPr>
        <u/>
        <sz val="9"/>
        <color indexed="8"/>
        <rFont val="Arial"/>
        <family val="2"/>
      </rPr>
      <t xml:space="preserve"> Telecommunications Planning:</t>
    </r>
    <r>
      <rPr>
        <sz val="9"/>
        <color indexed="8"/>
        <rFont val="Arial"/>
        <family val="2"/>
      </rPr>
      <t xml:space="preserve"> accommodates telecommunications requirements within the building and is reflected on the 2-7 Uniformat line item D5050.</t>
    </r>
  </si>
  <si>
    <r>
      <rPr>
        <b/>
        <u/>
        <sz val="9"/>
        <color indexed="8"/>
        <rFont val="Arial"/>
        <family val="2"/>
      </rPr>
      <t>Group II Equipment</t>
    </r>
    <r>
      <rPr>
        <u/>
        <sz val="9"/>
        <color indexed="8"/>
        <rFont val="Arial"/>
        <family val="2"/>
      </rPr>
      <t xml:space="preserve"> Telecommunications Planning:</t>
    </r>
    <r>
      <rPr>
        <sz val="9"/>
        <color indexed="8"/>
        <rFont val="Arial"/>
        <family val="2"/>
      </rPr>
      <t xml:space="preserve"> accommodates telecommunications equipment requirements within the building and is reflected on the 2-7 line 14. These costs for "Terminal Resources" are considered in the annual CCCI Costguide adjustments.</t>
    </r>
  </si>
  <si>
    <t>ENERGY MANAGEMENT</t>
  </si>
  <si>
    <t>Distance to central point of connection</t>
  </si>
  <si>
    <t>MISCELLANEOUS UNDERGROUND UTILITIES / UTILIDOR</t>
  </si>
  <si>
    <t>Define by name and describe any other utilities necessary or which require relocation and cost.</t>
  </si>
  <si>
    <t xml:space="preserve">Utility </t>
  </si>
  <si>
    <t>EASEMENT AND RIGHTS OF WAY</t>
  </si>
  <si>
    <t>Does the project of any of its serving utilities traverse any pre-existing easements</t>
  </si>
  <si>
    <t>or rights of way? If yes, attach a detailed estimate for relocation costs.</t>
  </si>
  <si>
    <t>AIR QUALITY EMISSIONS</t>
  </si>
  <si>
    <t xml:space="preserve">Name of Local Air Quality Management District                                       </t>
  </si>
  <si>
    <t>SELECT LOCAL AIR DISTRICT</t>
  </si>
  <si>
    <t xml:space="preserve">Will project require permits for emergency generator or other controlled </t>
  </si>
  <si>
    <t>emissions? If yes, provide estimated costs</t>
  </si>
  <si>
    <t xml:space="preserve">Will this project's emissions require the CSU to purchase emissions offsets? </t>
  </si>
  <si>
    <t>If yes, provide estimated costs</t>
  </si>
  <si>
    <t>CONSTRUCTION UTILITIES</t>
  </si>
  <si>
    <t xml:space="preserve">Will the contractor bear all costs of construction utilities?  </t>
  </si>
  <si>
    <t>(Note A/E must include provisions in project special conditions for this to happen).</t>
  </si>
  <si>
    <t xml:space="preserve">POC and metering of temporary utilities clearly defines that the contractor </t>
  </si>
  <si>
    <t>be charged back during construction. If no, be aware that construction utilities are</t>
  </si>
  <si>
    <t>borne by the campus' delegated utilities budget.  The Department of Finance</t>
  </si>
  <si>
    <t>only funds project utilities based on the date of beneficial occupancy.</t>
  </si>
  <si>
    <r>
      <t xml:space="preserve">TOTAL ESTIMATED SITE UTILITIES </t>
    </r>
    <r>
      <rPr>
        <i/>
        <sz val="9"/>
        <rFont val="Arial"/>
        <family val="2"/>
      </rPr>
      <t>(Insert to line G3040, distribute between S/NS as appropriate)</t>
    </r>
  </si>
  <si>
    <t>NEW CONSTRUCTION</t>
  </si>
  <si>
    <t>PROJECT TYPE</t>
  </si>
  <si>
    <t>TOTAL CONSTRUCTION</t>
  </si>
  <si>
    <r>
      <rPr>
        <b/>
        <i/>
        <sz val="12"/>
        <rFont val="Arial"/>
        <family val="2"/>
      </rPr>
      <t xml:space="preserve">SUMMARY: </t>
    </r>
    <r>
      <rPr>
        <b/>
        <i/>
        <sz val="9"/>
        <rFont val="Arial"/>
        <family val="2"/>
      </rPr>
      <t>FEE PAYMENT SCHEDULE</t>
    </r>
  </si>
  <si>
    <t>Preliminary Plans</t>
  </si>
  <si>
    <t>Working Drawings</t>
  </si>
  <si>
    <t>Construction</t>
  </si>
  <si>
    <r>
      <t xml:space="preserve">SUMMARY: </t>
    </r>
    <r>
      <rPr>
        <b/>
        <i/>
        <sz val="10"/>
        <rFont val="Arial"/>
        <family val="2"/>
      </rPr>
      <t>FEE PAYMENT SCHED</t>
    </r>
  </si>
  <si>
    <t>SD</t>
  </si>
  <si>
    <t>PD</t>
  </si>
  <si>
    <t>WD</t>
  </si>
  <si>
    <t>BN</t>
  </si>
  <si>
    <t>CA</t>
  </si>
  <si>
    <t>CLOSE-OUT</t>
  </si>
  <si>
    <t xml:space="preserve">DESIGN-BID-BUILD </t>
  </si>
  <si>
    <t>AE Fee (DBB)</t>
  </si>
  <si>
    <t>AE Fee (CMR)</t>
  </si>
  <si>
    <t>CM @ RISK FEES</t>
  </si>
  <si>
    <t xml:space="preserve">CM service during PW </t>
  </si>
  <si>
    <t>Total CM Services</t>
  </si>
  <si>
    <t>DESIGN-BUILD FEES</t>
  </si>
  <si>
    <t>DESIGN-BUILD CM FEE</t>
  </si>
  <si>
    <t>Adj AE Fee Estimate</t>
  </si>
  <si>
    <t>Total DB Services</t>
  </si>
  <si>
    <t>COLLABORATIVE DESIGN-BUILD FEES</t>
  </si>
  <si>
    <t>Design Phase (Ph. 1)</t>
  </si>
  <si>
    <t>Design-Build Phase (Ph. 2)</t>
  </si>
  <si>
    <t>Design Services</t>
  </si>
  <si>
    <t>Pre-Construction Services</t>
  </si>
  <si>
    <r>
      <rPr>
        <b/>
        <i/>
        <sz val="12"/>
        <rFont val="Arial"/>
        <family val="2"/>
      </rPr>
      <t>DESIGN BID BUILD:</t>
    </r>
    <r>
      <rPr>
        <b/>
        <i/>
        <sz val="9"/>
        <rFont val="Arial"/>
        <family val="2"/>
      </rPr>
      <t xml:space="preserve"> FEE CALCULATIONS</t>
    </r>
  </si>
  <si>
    <r>
      <rPr>
        <b/>
        <i/>
        <sz val="12"/>
        <rFont val="Arial"/>
        <family val="2"/>
      </rPr>
      <t>DESIGN BID BUILD:</t>
    </r>
    <r>
      <rPr>
        <b/>
        <i/>
        <sz val="9"/>
        <rFont val="Arial"/>
        <family val="2"/>
      </rPr>
      <t xml:space="preserve"> FEE CALCULATIONS (NONSTATE)</t>
    </r>
  </si>
  <si>
    <t>Budget</t>
  </si>
  <si>
    <t xml:space="preserve">AE Fee %  </t>
  </si>
  <si>
    <t>AE Fee</t>
  </si>
  <si>
    <t>LOG Calc &amp;</t>
  </si>
  <si>
    <t>Coefficients</t>
  </si>
  <si>
    <t>A/E Design Basis (New)</t>
  </si>
  <si>
    <t>A &amp; E Design Basis (New)</t>
  </si>
  <si>
    <t>RENOVATION</t>
  </si>
  <si>
    <t>A/E Design Basis (Reno)</t>
  </si>
  <si>
    <t>A &amp; E Design Basis (Reno)</t>
  </si>
  <si>
    <t>TOTAL (STATE)</t>
  </si>
  <si>
    <t>TOTAL (NONSTATE)</t>
  </si>
  <si>
    <r>
      <rPr>
        <b/>
        <i/>
        <sz val="12"/>
        <rFont val="Arial"/>
        <family val="2"/>
      </rPr>
      <t>CM @ RISK:</t>
    </r>
    <r>
      <rPr>
        <b/>
        <i/>
        <sz val="9"/>
        <rFont val="Arial"/>
        <family val="2"/>
      </rPr>
      <t xml:space="preserve"> FEE CALCULATIONS</t>
    </r>
  </si>
  <si>
    <t>ARCHITECTURAL/ENGINEERING</t>
  </si>
  <si>
    <t>CM @ RISK</t>
  </si>
  <si>
    <t>PW</t>
  </si>
  <si>
    <t>Contingency</t>
  </si>
  <si>
    <t xml:space="preserve">NEW CONSTRUCTION </t>
  </si>
  <si>
    <t xml:space="preserve">RENOVATION </t>
  </si>
  <si>
    <r>
      <rPr>
        <b/>
        <i/>
        <sz val="12"/>
        <rFont val="Arial"/>
        <family val="2"/>
      </rPr>
      <t>DESIGN-BUILD:</t>
    </r>
    <r>
      <rPr>
        <b/>
        <i/>
        <sz val="9"/>
        <rFont val="Arial"/>
        <family val="2"/>
      </rPr>
      <t xml:space="preserve"> FEE CALCULATIONS</t>
    </r>
  </si>
  <si>
    <t>A/E fee minus 1%</t>
  </si>
  <si>
    <r>
      <rPr>
        <b/>
        <i/>
        <sz val="12"/>
        <rFont val="Arial"/>
        <family val="2"/>
      </rPr>
      <t>COLLABORATIVE DESIGN-BUILD:</t>
    </r>
    <r>
      <rPr>
        <b/>
        <i/>
        <sz val="9"/>
        <rFont val="Arial"/>
        <family val="2"/>
      </rPr>
      <t xml:space="preserve"> FEE CALCULATIONS</t>
    </r>
  </si>
  <si>
    <t>DESIGN-BUILDER FEES</t>
  </si>
  <si>
    <t>DESIGN</t>
  </si>
  <si>
    <t>PRE-CON</t>
  </si>
  <si>
    <t>AE FEE TYPES</t>
  </si>
  <si>
    <t>ESCALATION CALCULATION TO MIDPOINT OF CONSTRUCTION</t>
  </si>
  <si>
    <t>CSU CAMPUSES</t>
  </si>
  <si>
    <t xml:space="preserve">ENERGY USAGE </t>
  </si>
  <si>
    <t>SCHEDULE OF FACULTY TYPES</t>
  </si>
  <si>
    <t>(CCCI 6840/EPI 3443)</t>
  </si>
  <si>
    <t>SUSTAINABLE</t>
  </si>
  <si>
    <t>2-8: PHASES</t>
  </si>
  <si>
    <t>2-8: TYPES</t>
  </si>
  <si>
    <t>2-8: ELEC EQUIP</t>
  </si>
  <si>
    <t>CAMPUS STATISTICS</t>
  </si>
  <si>
    <t>SELECT</t>
  </si>
  <si>
    <t>Electric Utility</t>
  </si>
  <si>
    <t>Elec $/kWh</t>
  </si>
  <si>
    <t>Gas Utility</t>
  </si>
  <si>
    <t>Gas $/Therms</t>
  </si>
  <si>
    <t>FACULTY (SPACE) TYPE</t>
  </si>
  <si>
    <t>$/GSF wo/GC</t>
  </si>
  <si>
    <t>AE FEE TYPE</t>
  </si>
  <si>
    <t>$/GSF w/GC</t>
  </si>
  <si>
    <t>GRP I</t>
  </si>
  <si>
    <t>GRP II</t>
  </si>
  <si>
    <t>BLDG EFF %</t>
  </si>
  <si>
    <t>DIFFICULTY RATING</t>
  </si>
  <si>
    <t>LOOKUP</t>
  </si>
  <si>
    <t>TRANSFORMER</t>
  </si>
  <si>
    <t>COST</t>
  </si>
  <si>
    <t>MAIN SWTCHBD</t>
  </si>
  <si>
    <t>EM GEN</t>
  </si>
  <si>
    <t>UPS COST</t>
  </si>
  <si>
    <t># RAIN DAYS</t>
  </si>
  <si>
    <t>X</t>
  </si>
  <si>
    <t>CSU BAKERSFIELD</t>
  </si>
  <si>
    <t>CAL POLY STATE UNIV, SAN LUIS OBISPO</t>
  </si>
  <si>
    <t>PG&amp;E</t>
  </si>
  <si>
    <t>SCG</t>
  </si>
  <si>
    <t>OUTYEAR</t>
  </si>
  <si>
    <t>ADMINISTRATIVE/OFFICE BUILDING</t>
  </si>
  <si>
    <t>225 kVA</t>
  </si>
  <si>
    <t>400A, 480Y/277V</t>
  </si>
  <si>
    <t>100 kW</t>
  </si>
  <si>
    <t>CSU CHANNEL ISLANDS</t>
  </si>
  <si>
    <t>CAL STATE POLY UNIV, POMONA</t>
  </si>
  <si>
    <t>SCE</t>
  </si>
  <si>
    <t>Administration</t>
  </si>
  <si>
    <t>COBCP (FEASIBILITY STUDY)</t>
  </si>
  <si>
    <t>CLASSROOM BUILDING</t>
  </si>
  <si>
    <t>500 kVA</t>
  </si>
  <si>
    <t>800A, 480Y/277V</t>
  </si>
  <si>
    <t>200 kW</t>
  </si>
  <si>
    <t>CSU CHICO</t>
  </si>
  <si>
    <t>CALIFORNIA MARITIME ACADEMY</t>
  </si>
  <si>
    <t>Agriculture</t>
  </si>
  <si>
    <t>SCHEMATIC DESIGN</t>
  </si>
  <si>
    <t>SCIENCE LAB BUILDING</t>
  </si>
  <si>
    <t>750 kVA</t>
  </si>
  <si>
    <t>1000A, 480Y/277V</t>
  </si>
  <si>
    <t>300 kW</t>
  </si>
  <si>
    <t>CSU DOMINGUEZ HILLS</t>
  </si>
  <si>
    <t>Amphitheater</t>
  </si>
  <si>
    <t>1000 kVA</t>
  </si>
  <si>
    <t>1200A, 480Y/277V</t>
  </si>
  <si>
    <t>400 kW</t>
  </si>
  <si>
    <t>PER DOF BL-11-09</t>
  </si>
  <si>
    <t>CSU EAST BAY</t>
  </si>
  <si>
    <t>Aquatic Facility</t>
  </si>
  <si>
    <t>2-8: ELEC UTILITY</t>
  </si>
  <si>
    <t>2-8: IT</t>
  </si>
  <si>
    <t>1500 kVA</t>
  </si>
  <si>
    <t>2000A, 480Y/277V</t>
  </si>
  <si>
    <t>600 kW</t>
  </si>
  <si>
    <t>CSU FRESNO</t>
  </si>
  <si>
    <t>Art</t>
  </si>
  <si>
    <t xml:space="preserve">Beginning of BUDGET YEAR </t>
  </si>
  <si>
    <t>CSU FULLERTON</t>
  </si>
  <si>
    <t>DGS/SCG</t>
  </si>
  <si>
    <t>Asbestos Abatement/Alterations</t>
  </si>
  <si>
    <t>Campus-Owned Distribution</t>
  </si>
  <si>
    <t>Copper</t>
  </si>
  <si>
    <t>MILESTONE PHASES</t>
  </si>
  <si>
    <t>Construction Start Date</t>
  </si>
  <si>
    <t>HUMBOLDT STATE UNIVERSITY</t>
  </si>
  <si>
    <t>Biological Science (Wet Lab)</t>
  </si>
  <si>
    <t>LADWP: Los Angeles Dept of Water &amp; Power</t>
  </si>
  <si>
    <t>Fiber Coaxial</t>
  </si>
  <si>
    <t>SELECT MILESTONE PHASE</t>
  </si>
  <si>
    <t>Midpoint of Construction</t>
  </si>
  <si>
    <t>CSU LONG BEACH</t>
  </si>
  <si>
    <t>DGS/PG&amp;E</t>
  </si>
  <si>
    <t>Bookstore</t>
  </si>
  <si>
    <t>PG&amp;E: Pacific Gas &amp; Elec</t>
  </si>
  <si>
    <t>Optical Fiber</t>
  </si>
  <si>
    <t>BUDGET @ OUTYEAR</t>
  </si>
  <si>
    <t>CSU LOS ANGELES</t>
  </si>
  <si>
    <t>Bridges</t>
  </si>
  <si>
    <t>SMUD: Sacramento Municipal Utility Dist</t>
  </si>
  <si>
    <t>BUDGET @ COBCP/AMEND</t>
  </si>
  <si>
    <t>Months to midpoint of construction</t>
  </si>
  <si>
    <t>Annual</t>
  </si>
  <si>
    <t>Business Admin./Student Business Services</t>
  </si>
  <si>
    <t>SDG&amp;E: San Diego Gas &amp; Elec</t>
  </si>
  <si>
    <t xml:space="preserve"> Average monthly inflation -- DOF Approved:</t>
  </si>
  <si>
    <t>CSU MONTEREY BAY</t>
  </si>
  <si>
    <t>LADWP</t>
  </si>
  <si>
    <t>Cafeteria</t>
  </si>
  <si>
    <t>SCE: SoCal Edison</t>
  </si>
  <si>
    <t>GMP AWARD (DB)</t>
  </si>
  <si>
    <t>Escalation percentage over project</t>
  </si>
  <si>
    <t>CSU NORTHRIDGE</t>
  </si>
  <si>
    <t>Central Heating and Cooling Plant</t>
  </si>
  <si>
    <t>TID Water &amp; Power</t>
  </si>
  <si>
    <t>PRELIMINARY</t>
  </si>
  <si>
    <t>Child Care</t>
  </si>
  <si>
    <t>WORKING DRAWINGS</t>
  </si>
  <si>
    <t>CSU SACRAMENTO</t>
  </si>
  <si>
    <t>SMUD</t>
  </si>
  <si>
    <t>Classroom (General)</t>
  </si>
  <si>
    <t>2-8: GAS UTILITY</t>
  </si>
  <si>
    <t>GMP(CMR)</t>
  </si>
  <si>
    <t>HISTORICAL COST INDEXES 1987 TO PRESENT</t>
  </si>
  <si>
    <t>CSU SAN BERNARDINO</t>
  </si>
  <si>
    <t>Cogeneration Buildings &amp; Equipment</t>
  </si>
  <si>
    <t>AWARD</t>
  </si>
  <si>
    <t>% Change</t>
  </si>
  <si>
    <t>SAN DIEGO STATE UNIVERSITY</t>
  </si>
  <si>
    <t>CSU SAN DIEGO</t>
  </si>
  <si>
    <t>SDG&amp;E</t>
  </si>
  <si>
    <t>College Union</t>
  </si>
  <si>
    <t>1987/88</t>
  </si>
  <si>
    <t>SAN FRANCISCO STATE UNIVERSITY</t>
  </si>
  <si>
    <t>CSU SAN MARCOS</t>
  </si>
  <si>
    <t>Computer Facility</t>
  </si>
  <si>
    <t>ACQUISITION</t>
  </si>
  <si>
    <t>1988/89</t>
  </si>
  <si>
    <t>SAN JOSE STATE UNIVERSITY</t>
  </si>
  <si>
    <t>CSU STANISLAUS</t>
  </si>
  <si>
    <t>TID</t>
  </si>
  <si>
    <t>Corporation Yard (shops)</t>
  </si>
  <si>
    <t>SCG: Southern Cal Gas</t>
  </si>
  <si>
    <t>AUGMENT</t>
  </si>
  <si>
    <t>1989/90</t>
  </si>
  <si>
    <t>Corporation Yard (warehouses)</t>
  </si>
  <si>
    <t>CONCEPT (P3)</t>
  </si>
  <si>
    <t>1990/91</t>
  </si>
  <si>
    <t>OFFICE OF THE CHANCELLOR</t>
  </si>
  <si>
    <t>Education</t>
  </si>
  <si>
    <t>1991/92</t>
  </si>
  <si>
    <t>SONOMA STATE UNIVERSITY</t>
  </si>
  <si>
    <t>Engineering</t>
  </si>
  <si>
    <t>2-8: WATER UTILITY</t>
  </si>
  <si>
    <t>DELIVERY TYPES</t>
  </si>
  <si>
    <t>1992/93</t>
  </si>
  <si>
    <t>Entrances Structure</t>
  </si>
  <si>
    <t>SELECT DELIVERY TYPE</t>
  </si>
  <si>
    <t>1993/94</t>
  </si>
  <si>
    <t>Faculty Offices</t>
  </si>
  <si>
    <t>DESIGN-BID-BUILD</t>
  </si>
  <si>
    <t>1994/95</t>
  </si>
  <si>
    <t>Farm Building (simple)</t>
  </si>
  <si>
    <t>California Water Service Co</t>
  </si>
  <si>
    <t>1995/96</t>
  </si>
  <si>
    <t>Health Clinic</t>
  </si>
  <si>
    <t>Camrosa Water District</t>
  </si>
  <si>
    <t>1996/97</t>
  </si>
  <si>
    <t>AE ADD SERVICES-CONSULTANTS</t>
  </si>
  <si>
    <r>
      <t xml:space="preserve">DELIVERY METHOD FEE STRUCTURE </t>
    </r>
    <r>
      <rPr>
        <sz val="12"/>
        <color indexed="10"/>
        <rFont val="Arial"/>
        <family val="2"/>
      </rPr>
      <t>(Linked to chart below)</t>
    </r>
  </si>
  <si>
    <t>Home Economics (Food Sci / Nutrition)</t>
  </si>
  <si>
    <t>City of Arcata</t>
  </si>
  <si>
    <t>COLLABORATIVE DESIGN-BUILD</t>
  </si>
  <si>
    <t>1997/98</t>
  </si>
  <si>
    <t>FEE % (TC)</t>
  </si>
  <si>
    <t>Humanities</t>
  </si>
  <si>
    <t>City of Bakersfield</t>
  </si>
  <si>
    <t>SMALL PROJECT</t>
  </si>
  <si>
    <t>1998/99</t>
  </si>
  <si>
    <t>Industrial Arts</t>
  </si>
  <si>
    <t>City of Fresno</t>
  </si>
  <si>
    <t>1999/00</t>
  </si>
  <si>
    <t>A/V Consultant</t>
  </si>
  <si>
    <r>
      <t>PRE-CON SERVICES (PW)</t>
    </r>
    <r>
      <rPr>
        <sz val="10"/>
        <color indexed="36"/>
        <rFont val="Arial"/>
        <family val="2"/>
      </rPr>
      <t xml:space="preserve"> / DESIGN</t>
    </r>
  </si>
  <si>
    <t>Language Arts</t>
  </si>
  <si>
    <t>City of Fullerton</t>
  </si>
  <si>
    <t>FUND TYPE</t>
  </si>
  <si>
    <t>2000/01</t>
  </si>
  <si>
    <t>A/V Consultant - Theater</t>
  </si>
  <si>
    <r>
      <t>CONSTRUCTION SERVICES (C )</t>
    </r>
    <r>
      <rPr>
        <sz val="10"/>
        <color indexed="36"/>
        <rFont val="Arial"/>
        <family val="2"/>
      </rPr>
      <t xml:space="preserve"> / PRE-CON</t>
    </r>
  </si>
  <si>
    <t>Library/Information Resource Center (w/o ASR)</t>
  </si>
  <si>
    <t>City of Long Beach</t>
  </si>
  <si>
    <t>2001/02</t>
  </si>
  <si>
    <t>Acoustical</t>
  </si>
  <si>
    <r>
      <t>CM CONTINGENCY (1-3%)</t>
    </r>
    <r>
      <rPr>
        <sz val="10"/>
        <color indexed="36"/>
        <rFont val="Arial"/>
        <family val="2"/>
      </rPr>
      <t xml:space="preserve"> / SITE MGMT</t>
    </r>
  </si>
  <si>
    <t>Little Theatre &amp; Auditorium (&lt;500 seats)</t>
  </si>
  <si>
    <t>City of Sacramento</t>
  </si>
  <si>
    <t>Non-Streamlined</t>
  </si>
  <si>
    <t xml:space="preserve">2002/03 </t>
  </si>
  <si>
    <t>Acoustical - Theater</t>
  </si>
  <si>
    <r>
      <t>OH + PROFIT (Gen Cond)</t>
    </r>
    <r>
      <rPr>
        <sz val="10"/>
        <color indexed="36"/>
        <rFont val="Arial"/>
        <family val="2"/>
      </rPr>
      <t xml:space="preserve"> / C PHASE OH+P</t>
    </r>
  </si>
  <si>
    <t>Monuments</t>
  </si>
  <si>
    <t>City of San Bernardino</t>
  </si>
  <si>
    <t>Streamlined</t>
  </si>
  <si>
    <t>2003/04</t>
  </si>
  <si>
    <t>Interior Design</t>
  </si>
  <si>
    <t>DB BONDS</t>
  </si>
  <si>
    <t>Museum &amp; Gallery</t>
  </si>
  <si>
    <t>City of San Diego</t>
  </si>
  <si>
    <t>Non-State</t>
  </si>
  <si>
    <t>2004/05</t>
  </si>
  <si>
    <t>Lab Planner (Dry)</t>
  </si>
  <si>
    <t>SUB BONDS</t>
  </si>
  <si>
    <t>Music</t>
  </si>
  <si>
    <t>City of San Luis Obispo</t>
  </si>
  <si>
    <t>2005/06</t>
  </si>
  <si>
    <t>Lab Planner (Wet)</t>
  </si>
  <si>
    <t>DB CONTINGENCY</t>
  </si>
  <si>
    <t>Performing Arts Facility/Theatre (500+ seats)</t>
  </si>
  <si>
    <t>City of Trinidad</t>
  </si>
  <si>
    <t>2006/07</t>
  </si>
  <si>
    <t>Lighting Consultant</t>
  </si>
  <si>
    <t>SUBTOTAL</t>
  </si>
  <si>
    <t>Physical Education/Gymnasium/Dance Studios</t>
  </si>
  <si>
    <t>City of Turlock/Turlock Irrigation District</t>
  </si>
  <si>
    <t>2007/08</t>
  </si>
  <si>
    <t>Lighting Consultant - Theater</t>
  </si>
  <si>
    <t>PROJECT CONTINGENCY</t>
  </si>
  <si>
    <t>Physical Science (Dry Lab)</t>
  </si>
  <si>
    <t>City of Vallejo Water Dept</t>
  </si>
  <si>
    <t>2008/09</t>
  </si>
  <si>
    <t>Wind Study</t>
  </si>
  <si>
    <t>Psychology (Dry Lab)</t>
  </si>
  <si>
    <t>Dominguez Water Corporation</t>
  </si>
  <si>
    <t>2009/10</t>
  </si>
  <si>
    <t>Residence/Student Housing (Type 1)</t>
  </si>
  <si>
    <t>Hayward Water System</t>
  </si>
  <si>
    <t>2010/11</t>
  </si>
  <si>
    <t>Residence/Student Housing (Type 2)</t>
  </si>
  <si>
    <t>2011/12</t>
  </si>
  <si>
    <t>San Francisco Water System</t>
  </si>
  <si>
    <t>2012/13</t>
  </si>
  <si>
    <t>Site Development</t>
  </si>
  <si>
    <t>San Jose Water Company</t>
  </si>
  <si>
    <t>2013/14</t>
  </si>
  <si>
    <t>Social Science</t>
  </si>
  <si>
    <t>Three Valleys Municipal Services</t>
  </si>
  <si>
    <t>2014/15</t>
  </si>
  <si>
    <t>Stadium</t>
  </si>
  <si>
    <t>Vallecitos Water District</t>
  </si>
  <si>
    <t>2015/16</t>
  </si>
  <si>
    <t>2016/17</t>
  </si>
  <si>
    <t>2017/18</t>
  </si>
  <si>
    <t>Student Recreation Center</t>
  </si>
  <si>
    <t>2018/19</t>
  </si>
  <si>
    <t>Utilities/Infrastructure/Telecom</t>
  </si>
  <si>
    <t>2-8: AQMD UTILITY</t>
  </si>
  <si>
    <t>FACILITY (SPACE) TYPE</t>
  </si>
  <si>
    <t>GSF/UNIT</t>
  </si>
  <si>
    <t>Bay Area Air Quality Management District</t>
  </si>
  <si>
    <t>Butte County Air Quality Management District</t>
  </si>
  <si>
    <t>Parking Lot Per Space</t>
  </si>
  <si>
    <t>Monterey Bay Unified Air Pollution Control Dist</t>
  </si>
  <si>
    <r>
      <t xml:space="preserve">DELIVERY METHOD FEE </t>
    </r>
    <r>
      <rPr>
        <b/>
        <sz val="12"/>
        <color indexed="10"/>
        <rFont val="Arial"/>
        <family val="2"/>
      </rPr>
      <t xml:space="preserve">DETAILED BREAKDOWN </t>
    </r>
  </si>
  <si>
    <t>Parking Structure Per Space</t>
  </si>
  <si>
    <t>North Coast Air Quality Control Board</t>
  </si>
  <si>
    <t>FOR COLLABORATIVE DESIGN-BUILD</t>
  </si>
  <si>
    <t>Res/Stdnt Housing Per Bed (Type 1)</t>
  </si>
  <si>
    <t>Sacramento Metropolitan Air Quality Management Dist</t>
  </si>
  <si>
    <t>Res/Stdnt Housing Per Bed (Type 2)</t>
  </si>
  <si>
    <t xml:space="preserve">San Diego County Air Pollution Control Dist </t>
  </si>
  <si>
    <t>DESIGN SERVICES FOR PHASE 1 AND 2</t>
  </si>
  <si>
    <t>PRE-CON SERVICES (PW)</t>
  </si>
  <si>
    <t>San Joaquin Valley Unified Air Pollution Control Dist</t>
  </si>
  <si>
    <t>PRE-CONSTRUCTION SERVICES FOR PHASE 1 AND 2</t>
  </si>
  <si>
    <t>CONSTRUCTION SERVICES (C )</t>
  </si>
  <si>
    <t>San Luis Obispo Air Pollution Control Dist</t>
  </si>
  <si>
    <t>SITE MANAGEMENT DURING CONSTRUCTION</t>
  </si>
  <si>
    <t>CM CONTINGENCY (1-3%)</t>
  </si>
  <si>
    <t>South Coast Air Quality Management Dist</t>
  </si>
  <si>
    <t>CONSTRUCTION PHASE OVERHEAD + PROFIT</t>
  </si>
  <si>
    <t>OH + PROFIT</t>
  </si>
  <si>
    <t>Ventura County Air Pollution Control Dist</t>
  </si>
  <si>
    <t>DESIGN-BUILDER PAYMENT AND PERFORMANCE BONDS</t>
  </si>
  <si>
    <t>SUBCONTRACTOR PAYMENT AND PERFORMANCE BONDS</t>
  </si>
  <si>
    <t>2-8: STORM UTILITY</t>
  </si>
  <si>
    <t>DESIGN-BUILDER CONTINGENCY</t>
  </si>
  <si>
    <t>City of Carson</t>
  </si>
  <si>
    <t>City of Chico</t>
  </si>
  <si>
    <t>City of Hayward</t>
  </si>
  <si>
    <t>City of San Marcos</t>
  </si>
  <si>
    <t>City of Turlock</t>
  </si>
  <si>
    <t>Los Angeles County</t>
  </si>
  <si>
    <t>San Francisco Public Utility Commission</t>
  </si>
  <si>
    <t>Vallejo Sanitation &amp; Flood Control</t>
  </si>
  <si>
    <t>2-8: SEWER UTILITY</t>
  </si>
  <si>
    <t>San Bernardino Flood Control District</t>
  </si>
  <si>
    <r>
      <t xml:space="preserve">LEED Building Design &amp; Construction (BD&amp;C) v.3.0 Project Scorecard </t>
    </r>
    <r>
      <rPr>
        <sz val="12"/>
        <rFont val="Arial"/>
        <family val="2"/>
      </rPr>
      <t>(incl. NC v2.2 comparison)</t>
    </r>
  </si>
  <si>
    <t xml:space="preserve">For the Design, Construction and Major Renovations of Commercial and Institutional Buildings </t>
  </si>
  <si>
    <t>Including Core &amp; Shell and K-12 School Projects</t>
  </si>
  <si>
    <t>2009 Edition</t>
  </si>
  <si>
    <t>Bldg</t>
  </si>
  <si>
    <r>
      <t xml:space="preserve">  </t>
    </r>
    <r>
      <rPr>
        <b/>
        <sz val="16"/>
        <color indexed="9"/>
        <rFont val="Arial"/>
        <family val="2"/>
      </rPr>
      <t xml:space="preserve">      Sustainable Sites</t>
    </r>
    <r>
      <rPr>
        <b/>
        <sz val="16"/>
        <rFont val="Arial"/>
        <family val="2"/>
      </rPr>
      <t xml:space="preserve"> </t>
    </r>
  </si>
  <si>
    <t>v2.2</t>
  </si>
  <si>
    <t>NC</t>
  </si>
  <si>
    <t>14 Pts.</t>
  </si>
  <si>
    <t>26 Pts.</t>
  </si>
  <si>
    <t>Y</t>
  </si>
  <si>
    <t xml:space="preserve">Prereq 1 </t>
  </si>
  <si>
    <t xml:space="preserve">Construction Activity Pollution Prevention </t>
  </si>
  <si>
    <t>Req’d</t>
  </si>
  <si>
    <t>Req'd</t>
  </si>
  <si>
    <t xml:space="preserve">Prereq 2 </t>
  </si>
  <si>
    <t>Environmental Site Assessment</t>
  </si>
  <si>
    <t>NA</t>
  </si>
  <si>
    <t xml:space="preserve">Credit 1 </t>
  </si>
  <si>
    <t xml:space="preserve">Site Selection  </t>
  </si>
  <si>
    <t xml:space="preserve">Credit 2 </t>
  </si>
  <si>
    <t xml:space="preserve">Development Density &amp; Community Connectivity </t>
  </si>
  <si>
    <t xml:space="preserve">Credit 3 </t>
  </si>
  <si>
    <t>Brownfield Redevelopment</t>
  </si>
  <si>
    <t xml:space="preserve">Credit 4.1 </t>
  </si>
  <si>
    <r>
      <t>Alternative Transportation</t>
    </r>
    <r>
      <rPr>
        <sz val="10"/>
        <rFont val="Arial"/>
        <family val="2"/>
      </rPr>
      <t>, Public Transportation Access</t>
    </r>
  </si>
  <si>
    <t xml:space="preserve">Credit 4.2 </t>
  </si>
  <si>
    <r>
      <t>Alternative Transportation</t>
    </r>
    <r>
      <rPr>
        <sz val="10"/>
        <rFont val="Arial"/>
        <family val="2"/>
      </rPr>
      <t xml:space="preserve">, Bicycle Storage &amp; Changing Rooms </t>
    </r>
  </si>
  <si>
    <t xml:space="preserve">Credit 4.3 </t>
  </si>
  <si>
    <r>
      <t>Alternative Transportation</t>
    </r>
    <r>
      <rPr>
        <sz val="10"/>
        <rFont val="Arial"/>
        <family val="2"/>
      </rPr>
      <t>, Low-Emitting &amp; Fuel-Efficient Vehicles</t>
    </r>
  </si>
  <si>
    <t xml:space="preserve">Credit 4.4 </t>
  </si>
  <si>
    <r>
      <t>Alternative Transportation</t>
    </r>
    <r>
      <rPr>
        <sz val="10"/>
        <rFont val="Arial"/>
        <family val="2"/>
      </rPr>
      <t>, Parking Capacity</t>
    </r>
  </si>
  <si>
    <t xml:space="preserve">Credit 5.1 </t>
  </si>
  <si>
    <r>
      <t>Site Development</t>
    </r>
    <r>
      <rPr>
        <sz val="10"/>
        <rFont val="Arial"/>
        <family val="2"/>
      </rPr>
      <t>, Protect or Restore Habitat</t>
    </r>
  </si>
  <si>
    <t xml:space="preserve">Credit 5.2 </t>
  </si>
  <si>
    <r>
      <t>Site Development</t>
    </r>
    <r>
      <rPr>
        <sz val="10"/>
        <rFont val="Arial"/>
        <family val="2"/>
      </rPr>
      <t>, Maximize Open Space</t>
    </r>
  </si>
  <si>
    <t xml:space="preserve">Credit 6.1 </t>
  </si>
  <si>
    <r>
      <t>Stormwater Design</t>
    </r>
    <r>
      <rPr>
        <sz val="10"/>
        <rFont val="Arial"/>
        <family val="2"/>
      </rPr>
      <t>, Quantity Control</t>
    </r>
  </si>
  <si>
    <t xml:space="preserve">Credit 6.2 </t>
  </si>
  <si>
    <r>
      <t>Stormwater Design</t>
    </r>
    <r>
      <rPr>
        <sz val="10"/>
        <rFont val="Arial"/>
        <family val="2"/>
      </rPr>
      <t>, Quality Control</t>
    </r>
  </si>
  <si>
    <t xml:space="preserve">Credit 7.1 </t>
  </si>
  <si>
    <r>
      <t>Heat Island Effect</t>
    </r>
    <r>
      <rPr>
        <sz val="10"/>
        <rFont val="Arial"/>
        <family val="2"/>
      </rPr>
      <t>, Non-Roof</t>
    </r>
  </si>
  <si>
    <t xml:space="preserve">Credit 7.2 </t>
  </si>
  <si>
    <r>
      <t>Heat Island Effect</t>
    </r>
    <r>
      <rPr>
        <sz val="10"/>
        <rFont val="Arial"/>
        <family val="2"/>
      </rPr>
      <t>, Roof</t>
    </r>
  </si>
  <si>
    <t xml:space="preserve">Credit 8 </t>
  </si>
  <si>
    <t>Light Pollution Reduction</t>
  </si>
  <si>
    <t>Credit 9</t>
  </si>
  <si>
    <t>Tenant Design &amp; Construction Guidelines</t>
  </si>
  <si>
    <t>Site Masterplan</t>
  </si>
  <si>
    <t>Credit 10</t>
  </si>
  <si>
    <t>Joint Use of Facilities</t>
  </si>
  <si>
    <t xml:space="preserve">        Water Efficiency</t>
  </si>
  <si>
    <t>5 Pts.</t>
  </si>
  <si>
    <t>10 Pts.</t>
  </si>
  <si>
    <r>
      <t>Water Use Reduction</t>
    </r>
    <r>
      <rPr>
        <sz val="10"/>
        <rFont val="Arial"/>
        <family val="2"/>
      </rPr>
      <t xml:space="preserve">, 20% Reduction </t>
    </r>
  </si>
  <si>
    <t>Credit 1.1</t>
  </si>
  <si>
    <r>
      <t>Water Efficient Landscaping</t>
    </r>
    <r>
      <rPr>
        <sz val="10"/>
        <rFont val="Arial"/>
        <family val="2"/>
      </rPr>
      <t>, Reduce by 50%</t>
    </r>
  </si>
  <si>
    <t>Credit 1.2</t>
  </si>
  <si>
    <r>
      <t>Water Efficient Landscaping</t>
    </r>
    <r>
      <rPr>
        <sz val="10"/>
        <rFont val="Arial"/>
        <family val="2"/>
      </rPr>
      <t>, No Potable Use or No Irrigation*</t>
    </r>
  </si>
  <si>
    <t xml:space="preserve">Innovative Wastewater Technologies </t>
  </si>
  <si>
    <t>Credit 3 .1</t>
  </si>
  <si>
    <r>
      <t>Water Use Reduction</t>
    </r>
    <r>
      <rPr>
        <sz val="10"/>
        <rFont val="Arial"/>
        <family val="2"/>
      </rPr>
      <t>, 30%</t>
    </r>
  </si>
  <si>
    <t>Credit 3 .2</t>
  </si>
  <si>
    <r>
      <t>Water Use Reduction</t>
    </r>
    <r>
      <rPr>
        <sz val="10"/>
        <rFont val="Arial"/>
        <family val="2"/>
      </rPr>
      <t>, 35%* (points cumulate)</t>
    </r>
  </si>
  <si>
    <t>Credit 3 .3</t>
  </si>
  <si>
    <r>
      <t>Water Use Reduction</t>
    </r>
    <r>
      <rPr>
        <sz val="10"/>
        <rFont val="Arial"/>
        <family val="2"/>
      </rPr>
      <t>, 40%* (points cumulate)</t>
    </r>
  </si>
  <si>
    <t>EP</t>
  </si>
  <si>
    <t>Credit 4</t>
  </si>
  <si>
    <r>
      <t>Process Water Use Reduction</t>
    </r>
    <r>
      <rPr>
        <sz val="10"/>
        <rFont val="Arial"/>
        <family val="2"/>
      </rPr>
      <t>, 20%</t>
    </r>
  </si>
  <si>
    <t xml:space="preserve">        Energy &amp; Atmosphere</t>
  </si>
  <si>
    <t>17 Pts.</t>
  </si>
  <si>
    <t>35 Pts.</t>
  </si>
  <si>
    <t>Fundamental Commissioning of the Building Energy Systems</t>
  </si>
  <si>
    <r>
      <t>Min. Energy Performance</t>
    </r>
    <r>
      <rPr>
        <sz val="10"/>
        <rFont val="Arial"/>
        <family val="2"/>
      </rPr>
      <t>: 10% New or 5% Exist. Bldg. Renov.</t>
    </r>
  </si>
  <si>
    <t xml:space="preserve">Prereq 3 </t>
  </si>
  <si>
    <t>Fundamental Refrigerant Management</t>
  </si>
  <si>
    <t xml:space="preserve">Optimize Energy Performance  </t>
  </si>
  <si>
    <t>1 to 10</t>
  </si>
  <si>
    <t>1 to 19</t>
  </si>
  <si>
    <t xml:space="preserve">12% New Buildings or 8% Existing Building Renovations </t>
  </si>
  <si>
    <t xml:space="preserve">14% New Buildings or 10% Existing Building Renovations </t>
  </si>
  <si>
    <t xml:space="preserve">16% New Buildings or 12% Existing Building Renovations </t>
  </si>
  <si>
    <t xml:space="preserve">18% New Buildings or 14% Existing Building Renovations </t>
  </si>
  <si>
    <t xml:space="preserve">20% New Buildings or 16% Existing Building Renovations </t>
  </si>
  <si>
    <t xml:space="preserve">22% New Buildings or 18% Existing Building Renovations </t>
  </si>
  <si>
    <t xml:space="preserve">24% New Buildings or 20% Existing Building Renovations </t>
  </si>
  <si>
    <t xml:space="preserve">26% New Buildings or 22% Existing Building Renovations </t>
  </si>
  <si>
    <t xml:space="preserve">28% New Buildings or 24% Existing Building Renovations </t>
  </si>
  <si>
    <t xml:space="preserve">30% New Buildings or 26% Existing Building Renovations </t>
  </si>
  <si>
    <t xml:space="preserve">32% New Buildings or 28% Existing Building Renovations </t>
  </si>
  <si>
    <t xml:space="preserve">34% New Buildings or 30% Existing Building Renovations </t>
  </si>
  <si>
    <t xml:space="preserve">36% New Buildings or 32% Existing Building Renovations </t>
  </si>
  <si>
    <t xml:space="preserve">38% New Buildings or 34% Existing Building Renovations </t>
  </si>
  <si>
    <t xml:space="preserve">40% New Buildings or 36% Existing Building Renovations </t>
  </si>
  <si>
    <t xml:space="preserve">42% New Buildings or 38% Existing Building Renovations </t>
  </si>
  <si>
    <t xml:space="preserve">44% New Buildings or 40% Existing Building Renovations </t>
  </si>
  <si>
    <t xml:space="preserve">46% New Buildings or 42% Existing Building Renovations </t>
  </si>
  <si>
    <t xml:space="preserve">48% New Buildings or 44% Existing Building Renovations </t>
  </si>
  <si>
    <t>On-Site Renewable Energy</t>
  </si>
  <si>
    <t>1 to 3</t>
  </si>
  <si>
    <t>1 to 7</t>
  </si>
  <si>
    <t xml:space="preserve">1% Renewable Energy </t>
  </si>
  <si>
    <t xml:space="preserve">3% Renewable Energy </t>
  </si>
  <si>
    <t>1 - 2.5%</t>
  </si>
  <si>
    <t xml:space="preserve">5% Renewable Energy </t>
  </si>
  <si>
    <t xml:space="preserve">7% Renewable Energy </t>
  </si>
  <si>
    <t>1 - 7.5%</t>
  </si>
  <si>
    <t xml:space="preserve">9% Renewable Energy </t>
  </si>
  <si>
    <t xml:space="preserve">11% Renewable Energy </t>
  </si>
  <si>
    <t xml:space="preserve">13% Renewable Energy </t>
  </si>
  <si>
    <t>1 - 12.5%</t>
  </si>
  <si>
    <t>Enhanced Commissioning</t>
  </si>
  <si>
    <t xml:space="preserve">Credit 4 </t>
  </si>
  <si>
    <t>Enhanced Refrigerant Management</t>
  </si>
  <si>
    <t xml:space="preserve">Credit 5 </t>
  </si>
  <si>
    <t>Measurement &amp; Verification</t>
  </si>
  <si>
    <r>
      <t>Measurement &amp; Verification</t>
    </r>
    <r>
      <rPr>
        <sz val="10"/>
        <rFont val="Arial"/>
        <family val="2"/>
      </rPr>
      <t>, Base Building</t>
    </r>
  </si>
  <si>
    <t>Credit 5.2</t>
  </si>
  <si>
    <r>
      <t>Measurement &amp; Verification</t>
    </r>
    <r>
      <rPr>
        <sz val="10"/>
        <rFont val="Arial"/>
        <family val="2"/>
      </rPr>
      <t>, Tenant Submetering</t>
    </r>
  </si>
  <si>
    <t xml:space="preserve">Credit 6 </t>
  </si>
  <si>
    <t>Green Power</t>
  </si>
  <si>
    <t xml:space="preserve">        Materials &amp; Resources</t>
  </si>
  <si>
    <t>13 Pts.</t>
  </si>
  <si>
    <t>Storage &amp; Collection of Recyclables</t>
  </si>
  <si>
    <t xml:space="preserve">Credit 1.1 </t>
  </si>
  <si>
    <r>
      <t>Building Reuse</t>
    </r>
    <r>
      <rPr>
        <sz val="10"/>
        <rFont val="Arial"/>
        <family val="2"/>
      </rPr>
      <t>, Maintain Percentage of Existing Walls, Floors &amp; Roof</t>
    </r>
  </si>
  <si>
    <t>1 to 2</t>
  </si>
  <si>
    <r>
      <t>Building Reuse</t>
    </r>
    <r>
      <rPr>
        <sz val="10"/>
        <rFont val="Arial"/>
        <family val="2"/>
      </rPr>
      <t>, Maintain % of Exist. Walls, Floors &amp; Roof</t>
    </r>
  </si>
  <si>
    <t>1 - 75%</t>
  </si>
  <si>
    <t>1 - 55%</t>
  </si>
  <si>
    <t>1 - 95%</t>
  </si>
  <si>
    <t xml:space="preserve">Credit 1.2 </t>
  </si>
  <si>
    <r>
      <t>Building Reuse</t>
    </r>
    <r>
      <rPr>
        <sz val="10"/>
        <rFont val="Arial"/>
        <family val="2"/>
      </rPr>
      <t>, Maintain 50% of Interior Non-Structural Elements</t>
    </r>
  </si>
  <si>
    <t xml:space="preserve">Credit 2.1 </t>
  </si>
  <si>
    <r>
      <t>Construction Waste Management</t>
    </r>
    <r>
      <rPr>
        <sz val="10"/>
        <rFont val="Arial"/>
        <family val="2"/>
      </rPr>
      <t>, Divert 50% from Disposal</t>
    </r>
  </si>
  <si>
    <t xml:space="preserve">Credit 2.2 </t>
  </si>
  <si>
    <r>
      <t>Construction Waste Management</t>
    </r>
    <r>
      <rPr>
        <sz val="10"/>
        <rFont val="Arial"/>
        <family val="2"/>
      </rPr>
      <t>, Divert 75% from Disposal</t>
    </r>
  </si>
  <si>
    <t xml:space="preserve">Credit 3.1 </t>
  </si>
  <si>
    <r>
      <t>Materials Reuse</t>
    </r>
    <r>
      <rPr>
        <sz val="10"/>
        <rFont val="Arial"/>
        <family val="2"/>
      </rPr>
      <t>, 5%</t>
    </r>
  </si>
  <si>
    <t xml:space="preserve">Credit 3.2 </t>
  </si>
  <si>
    <r>
      <t>Materials Reuse</t>
    </r>
    <r>
      <rPr>
        <sz val="10"/>
        <rFont val="Arial"/>
        <family val="2"/>
      </rPr>
      <t>, 10%</t>
    </r>
  </si>
  <si>
    <r>
      <t>Recycled Content</t>
    </r>
    <r>
      <rPr>
        <sz val="10"/>
        <rFont val="Arial"/>
        <family val="2"/>
      </rPr>
      <t>, 10% (post-consumer + ½ pre-consumer)</t>
    </r>
  </si>
  <si>
    <r>
      <t>Recycled Content</t>
    </r>
    <r>
      <rPr>
        <sz val="10"/>
        <rFont val="Arial"/>
        <family val="2"/>
      </rPr>
      <t>, 20% (post-consumer + ½ pre-consumer)</t>
    </r>
  </si>
  <si>
    <r>
      <t>Regional Materials</t>
    </r>
    <r>
      <rPr>
        <sz val="10"/>
        <rFont val="Arial"/>
        <family val="2"/>
      </rPr>
      <t>, 10% Extracted, Processed &amp; Manufactured Regionally</t>
    </r>
  </si>
  <si>
    <r>
      <t>Regional Materials</t>
    </r>
    <r>
      <rPr>
        <sz val="10"/>
        <rFont val="Arial"/>
        <family val="2"/>
      </rPr>
      <t>, 20% Extracted, Processed &amp; Manufactured Regionally</t>
    </r>
  </si>
  <si>
    <r>
      <t>Rapidly Renewable Materials</t>
    </r>
    <r>
      <rPr>
        <sz val="10"/>
        <rFont val="Arial"/>
        <family val="2"/>
      </rPr>
      <t xml:space="preserve">, 2.5% </t>
    </r>
  </si>
  <si>
    <r>
      <t>Certified Wood</t>
    </r>
    <r>
      <rPr>
        <sz val="10"/>
        <rFont val="Arial"/>
        <family val="2"/>
      </rPr>
      <t>, 50% (different credit number for Core &amp; Shell)</t>
    </r>
  </si>
  <si>
    <t xml:space="preserve">Credit 7 </t>
  </si>
  <si>
    <r>
      <t>Certified Wood</t>
    </r>
    <r>
      <rPr>
        <sz val="10"/>
        <rFont val="Arial"/>
        <family val="2"/>
      </rPr>
      <t>, 50%</t>
    </r>
  </si>
  <si>
    <t xml:space="preserve">        Indoor Environmental Quality </t>
  </si>
  <si>
    <t>15 Pts.</t>
  </si>
  <si>
    <t xml:space="preserve">Minimum IAQ Performance </t>
  </si>
  <si>
    <t xml:space="preserve">Environmental Tobacco Smoke (ETS) Control </t>
  </si>
  <si>
    <t>Prereq 3</t>
  </si>
  <si>
    <t>Minimum Acoustical Performance</t>
  </si>
  <si>
    <t>Outdoor Air Delivery Monitoring</t>
  </si>
  <si>
    <t>Increased Ventilation</t>
  </si>
  <si>
    <r>
      <t>Construction IAQ Management Plan</t>
    </r>
    <r>
      <rPr>
        <sz val="10"/>
        <rFont val="Arial"/>
        <family val="2"/>
      </rPr>
      <t>, During Construction</t>
    </r>
    <r>
      <rPr>
        <b/>
        <sz val="10"/>
        <rFont val="Arial"/>
        <family val="2"/>
      </rPr>
      <t xml:space="preserve"> </t>
    </r>
  </si>
  <si>
    <t xml:space="preserve">Credit 3 2 </t>
  </si>
  <si>
    <r>
      <t>Construction IAQ Management Plan</t>
    </r>
    <r>
      <rPr>
        <sz val="10"/>
        <rFont val="Arial"/>
        <family val="2"/>
      </rPr>
      <t>, Before Occupancy</t>
    </r>
  </si>
  <si>
    <t>Low-Emitting Materials</t>
  </si>
  <si>
    <t>1 to 4</t>
  </si>
  <si>
    <r>
      <t>Credit 4.1:</t>
    </r>
    <r>
      <rPr>
        <b/>
        <sz val="10"/>
        <rFont val="Arial"/>
        <family val="2"/>
      </rPr>
      <t xml:space="preserve"> Low-Emitting Materials</t>
    </r>
    <r>
      <rPr>
        <sz val="10"/>
        <rFont val="Arial"/>
        <family val="2"/>
      </rPr>
      <t>, Adhesives &amp; Sealants</t>
    </r>
  </si>
  <si>
    <r>
      <t>Credit 4.2:</t>
    </r>
    <r>
      <rPr>
        <b/>
        <sz val="10"/>
        <rFont val="Arial"/>
        <family val="2"/>
      </rPr>
      <t xml:space="preserve"> Low-Emitting Materials</t>
    </r>
    <r>
      <rPr>
        <sz val="10"/>
        <rFont val="Arial"/>
        <family val="2"/>
      </rPr>
      <t xml:space="preserve">, Paints &amp; Coatings </t>
    </r>
  </si>
  <si>
    <r>
      <t>Credit 4.3:</t>
    </r>
    <r>
      <rPr>
        <b/>
        <sz val="10"/>
        <rFont val="Arial"/>
        <family val="2"/>
      </rPr>
      <t xml:space="preserve"> Low-Emitting Materials</t>
    </r>
    <r>
      <rPr>
        <sz val="10"/>
        <rFont val="Arial"/>
        <family val="2"/>
      </rPr>
      <t>, Flooring Systems</t>
    </r>
  </si>
  <si>
    <r>
      <t>Credit 4.4:</t>
    </r>
    <r>
      <rPr>
        <b/>
        <sz val="10"/>
        <rFont val="Arial"/>
        <family val="2"/>
      </rPr>
      <t xml:space="preserve"> Low-Emitting Materials</t>
    </r>
    <r>
      <rPr>
        <sz val="10"/>
        <rFont val="Arial"/>
        <family val="2"/>
      </rPr>
      <t>, Comp. Wd &amp; Agr. Products</t>
    </r>
  </si>
  <si>
    <r>
      <t>Credit 4.5:</t>
    </r>
    <r>
      <rPr>
        <b/>
        <sz val="10"/>
        <rFont val="Arial"/>
        <family val="2"/>
      </rPr>
      <t xml:space="preserve"> Low-Emitting Materials</t>
    </r>
    <r>
      <rPr>
        <sz val="10"/>
        <rFont val="Arial"/>
        <family val="2"/>
      </rPr>
      <t>, Furniture and Furnishings</t>
    </r>
  </si>
  <si>
    <r>
      <t>Credit 4.6:</t>
    </r>
    <r>
      <rPr>
        <b/>
        <sz val="10"/>
        <rFont val="Arial"/>
        <family val="2"/>
      </rPr>
      <t xml:space="preserve"> Low-Emitting Materials</t>
    </r>
    <r>
      <rPr>
        <sz val="10"/>
        <rFont val="Arial"/>
        <family val="2"/>
      </rPr>
      <t>, Ceiling and Wall Systems</t>
    </r>
  </si>
  <si>
    <t xml:space="preserve">Indoor Chemical &amp; Pollutant Source Control </t>
  </si>
  <si>
    <r>
      <t>Controllability of Systems</t>
    </r>
    <r>
      <rPr>
        <sz val="10"/>
        <rFont val="Arial"/>
        <family val="2"/>
      </rPr>
      <t>, Lighting</t>
    </r>
  </si>
  <si>
    <r>
      <t>Controllability of Systems</t>
    </r>
    <r>
      <rPr>
        <sz val="10"/>
        <rFont val="Arial"/>
        <family val="2"/>
      </rPr>
      <t>, Thermal Comfort</t>
    </r>
  </si>
  <si>
    <r>
      <t>Thermal Comfort</t>
    </r>
    <r>
      <rPr>
        <sz val="10"/>
        <rFont val="Arial"/>
        <family val="2"/>
      </rPr>
      <t>, Design</t>
    </r>
  </si>
  <si>
    <r>
      <t>Thermal Comfort</t>
    </r>
    <r>
      <rPr>
        <sz val="10"/>
        <rFont val="Arial"/>
        <family val="2"/>
      </rPr>
      <t>, Verification</t>
    </r>
  </si>
  <si>
    <t xml:space="preserve">Credit 8.1 </t>
  </si>
  <si>
    <r>
      <t>Daylight &amp; Views</t>
    </r>
    <r>
      <rPr>
        <sz val="10"/>
        <rFont val="Arial"/>
        <family val="2"/>
      </rPr>
      <t>, Daylight 75% of Spaces</t>
    </r>
  </si>
  <si>
    <t xml:space="preserve">Credit 8.2 </t>
  </si>
  <si>
    <r>
      <t>Daylight &amp; Views</t>
    </r>
    <r>
      <rPr>
        <sz val="10"/>
        <rFont val="Arial"/>
        <family val="2"/>
      </rPr>
      <t>, Views for 90% of Spaces</t>
    </r>
  </si>
  <si>
    <t>Enhanced Acoustical Performance</t>
  </si>
  <si>
    <t>Mold Prevention</t>
  </si>
  <si>
    <t xml:space="preserve">         Innovation &amp; Design Process </t>
  </si>
  <si>
    <t>6 Pts.</t>
  </si>
  <si>
    <r>
      <t>Innovation in Design or Exemplary Performance</t>
    </r>
    <r>
      <rPr>
        <sz val="10"/>
        <rFont val="Arial"/>
        <family val="2"/>
      </rPr>
      <t>: Provide Specific Title</t>
    </r>
  </si>
  <si>
    <t xml:space="preserve">Credit 1.3 </t>
  </si>
  <si>
    <t xml:space="preserve">Credit 1.4 </t>
  </si>
  <si>
    <r>
      <t>Innovation in Design</t>
    </r>
    <r>
      <rPr>
        <sz val="10"/>
        <rFont val="Arial"/>
        <family val="2"/>
      </rPr>
      <t>: Provide Specific Title</t>
    </r>
  </si>
  <si>
    <t xml:space="preserve">Credit 1.5 </t>
  </si>
  <si>
    <t>LEED® Accredited Professional</t>
  </si>
  <si>
    <t>Credit 3</t>
  </si>
  <si>
    <t>The School as a Teaching Tool</t>
  </si>
  <si>
    <t xml:space="preserve">        Regional Priority Credits </t>
  </si>
  <si>
    <t>*4 Points max. out of 6</t>
  </si>
  <si>
    <t>Regional Priority Credit: Defined by Zip Code</t>
  </si>
  <si>
    <t>1*</t>
  </si>
  <si>
    <t xml:space="preserve">Credit 1.6 </t>
  </si>
  <si>
    <t xml:space="preserve">Project Totals (Certification Estimates) </t>
  </si>
  <si>
    <t>110 Points Max.</t>
  </si>
  <si>
    <t>Certified: 40-49 points Silver: 50-59 points Gold: 60-79 points Platinum: 80+ points</t>
  </si>
  <si>
    <t>INSTRUCTIONS FOR COMPLETING CPDC FORM 2-7</t>
  </si>
  <si>
    <t>LEGEND</t>
  </si>
  <si>
    <t>[ INSERT HERE ]</t>
  </si>
  <si>
    <t xml:space="preserve">Edit/Insert project information as indicated. </t>
  </si>
  <si>
    <r>
      <t>A</t>
    </r>
    <r>
      <rPr>
        <sz val="10"/>
        <rFont val="Arial"/>
        <family val="2"/>
      </rPr>
      <t xml:space="preserve"> </t>
    </r>
    <r>
      <rPr>
        <b/>
        <sz val="10"/>
        <color indexed="10"/>
        <rFont val="Arial"/>
        <family val="2"/>
      </rPr>
      <t>data entry cell</t>
    </r>
    <r>
      <rPr>
        <sz val="10"/>
        <rFont val="Arial"/>
        <family val="2"/>
      </rPr>
      <t>. User to enter appropriate information.</t>
    </r>
  </si>
  <si>
    <t>Formatting is automatic. Do not enter commas or '$' signs.</t>
  </si>
  <si>
    <r>
      <t>A</t>
    </r>
    <r>
      <rPr>
        <sz val="10"/>
        <rFont val="Arial"/>
        <family val="2"/>
      </rPr>
      <t xml:space="preserve"> </t>
    </r>
    <r>
      <rPr>
        <b/>
        <sz val="10"/>
        <color indexed="10"/>
        <rFont val="Arial"/>
        <family val="2"/>
      </rPr>
      <t>drop down list box</t>
    </r>
    <r>
      <rPr>
        <sz val="10"/>
        <rFont val="Arial"/>
        <family val="2"/>
      </rPr>
      <t>. User to enter select.</t>
    </r>
  </si>
  <si>
    <t>A comment box will appear providing additional information/instruction.</t>
  </si>
  <si>
    <r>
      <t>A calculated cell</t>
    </r>
    <r>
      <rPr>
        <sz val="10"/>
        <rFont val="Arial"/>
        <family val="2"/>
      </rPr>
      <t>. Values generated by formula based on values entered in select data entry cells.</t>
    </r>
  </si>
  <si>
    <r>
      <rPr>
        <b/>
        <sz val="10"/>
        <color indexed="10"/>
        <rFont val="Arial"/>
        <family val="2"/>
      </rPr>
      <t>A plug cell</t>
    </r>
    <r>
      <rPr>
        <sz val="10"/>
        <rFont val="Arial"/>
        <family val="2"/>
      </rPr>
      <t>. User to TRANSFER calculated information to another TAB.</t>
    </r>
  </si>
  <si>
    <r>
      <t xml:space="preserve">The worksheet is </t>
    </r>
    <r>
      <rPr>
        <b/>
        <u/>
        <sz val="10"/>
        <color indexed="10"/>
        <rFont val="Arial"/>
        <family val="2"/>
      </rPr>
      <t>NOT</t>
    </r>
    <r>
      <rPr>
        <sz val="10"/>
        <color indexed="10"/>
        <rFont val="Arial"/>
        <family val="2"/>
      </rPr>
      <t xml:space="preserve"> protected to allow ability to insert updated values at subsequent milestones. Take care to prevent unintended overwriting of formulas.</t>
    </r>
  </si>
  <si>
    <t>TAB 2-7: Cost Estimate Form (page 1 to 3)</t>
  </si>
  <si>
    <t>The Capital Outlay Estimate (CPDC 2-7) is used for budgeting purposes for both the Five-Year Capital Improvement Program and the Capital Outlay Budget Change Proposal (COBCP).  Form CPDC 2-7 is used for both state and self support projects and requires information from:</t>
  </si>
  <si>
    <r>
      <rPr>
        <u/>
        <sz val="10"/>
        <rFont val="Arial"/>
        <family val="2"/>
      </rPr>
      <t>CSU COST GUIDE</t>
    </r>
    <r>
      <rPr>
        <sz val="10"/>
        <rFont val="Arial"/>
        <family val="2"/>
      </rPr>
      <t xml:space="preserve"> updated annually and posted to the CPDC website: </t>
    </r>
    <r>
      <rPr>
        <sz val="10"/>
        <color indexed="12"/>
        <rFont val="Arial"/>
        <family val="2"/>
      </rPr>
      <t>http://www.calstate.edu/cpdc/Facilities_Planning/call_letters.shtml</t>
    </r>
    <r>
      <rPr>
        <sz val="10"/>
        <rFont val="Arial"/>
        <family val="2"/>
      </rPr>
      <t xml:space="preserve">. Typical projects use the column "Base Unit Cost Per GSF w/o GC". GC's are generated as 2-7 line 6, Z10. All  project proposals lacking a professional cost estimate should be based on CSU Cost Guide. </t>
    </r>
    <r>
      <rPr>
        <u/>
        <sz val="10"/>
        <rFont val="Arial"/>
        <family val="2"/>
      </rPr>
      <t>Refer to Outyear Calculation Information below.</t>
    </r>
  </si>
  <si>
    <r>
      <rPr>
        <u/>
        <sz val="10"/>
        <rFont val="Arial"/>
        <family val="2"/>
      </rPr>
      <t xml:space="preserve">COST ESTIMATE: </t>
    </r>
    <r>
      <rPr>
        <sz val="10"/>
        <rFont val="Arial"/>
        <family val="2"/>
      </rPr>
      <t xml:space="preserve">If costs are not based on CSU Cost Guide, provide cost estimate generated as part of Feasibility Study, from a professional Cost Estimator, or Facilities Condition Report (as appropriate). Transfer estimated costs for each building system element to the appropriate uniformat classification. </t>
    </r>
    <r>
      <rPr>
        <u/>
        <sz val="10"/>
        <rFont val="Arial"/>
        <family val="2"/>
      </rPr>
      <t xml:space="preserve">Refer to Cost Estimate Baseline Modifier instructions below. </t>
    </r>
  </si>
  <si>
    <t>Header</t>
  </si>
  <si>
    <r>
      <rPr>
        <b/>
        <sz val="10"/>
        <color indexed="12"/>
        <rFont val="Arial"/>
        <family val="2"/>
      </rPr>
      <t>CAMPUS:</t>
    </r>
    <r>
      <rPr>
        <sz val="10"/>
        <color indexed="12"/>
        <rFont val="Arial"/>
        <family val="2"/>
      </rPr>
      <t xml:space="preserve"> Select Campus</t>
    </r>
  </si>
  <si>
    <r>
      <rPr>
        <b/>
        <sz val="10"/>
        <color indexed="12"/>
        <rFont val="Arial"/>
        <family val="2"/>
      </rPr>
      <t>PROJECT NAME:</t>
    </r>
    <r>
      <rPr>
        <sz val="10"/>
        <color indexed="12"/>
        <rFont val="Arial"/>
        <family val="2"/>
      </rPr>
      <t xml:space="preserve"> Insert Project Name</t>
    </r>
  </si>
  <si>
    <r>
      <rPr>
        <b/>
        <sz val="10"/>
        <color indexed="12"/>
        <rFont val="Arial"/>
        <family val="2"/>
      </rPr>
      <t>ARCH/ENGINEER:</t>
    </r>
    <r>
      <rPr>
        <sz val="10"/>
        <color indexed="12"/>
        <rFont val="Arial"/>
        <family val="2"/>
      </rPr>
      <t xml:space="preserve"> Insert A/E Firm Name. List both Design Arch and Record Architect if different entity.</t>
    </r>
  </si>
  <si>
    <r>
      <rPr>
        <b/>
        <sz val="10"/>
        <color indexed="12"/>
        <rFont val="Arial"/>
        <family val="2"/>
      </rPr>
      <t>CONTRACTOR:</t>
    </r>
    <r>
      <rPr>
        <sz val="10"/>
        <color indexed="12"/>
        <rFont val="Arial"/>
        <family val="2"/>
      </rPr>
      <t xml:space="preserve"> Insert Contractor Company Name </t>
    </r>
  </si>
  <si>
    <r>
      <rPr>
        <b/>
        <sz val="10"/>
        <color indexed="12"/>
        <rFont val="Arial"/>
        <family val="2"/>
      </rPr>
      <t>DELIVERY TYPE:</t>
    </r>
    <r>
      <rPr>
        <sz val="10"/>
        <color indexed="12"/>
        <rFont val="Arial"/>
        <family val="2"/>
      </rPr>
      <t xml:space="preserve"> Select the Delivery Type for the project.</t>
    </r>
  </si>
  <si>
    <r>
      <rPr>
        <b/>
        <sz val="10"/>
        <color indexed="12"/>
        <rFont val="Arial"/>
        <family val="2"/>
      </rPr>
      <t>PHASE:</t>
    </r>
    <r>
      <rPr>
        <sz val="10"/>
        <color indexed="12"/>
        <rFont val="Arial"/>
        <family val="2"/>
      </rPr>
      <t xml:space="preserve"> Select the phase on which estimate is based.</t>
    </r>
  </si>
  <si>
    <r>
      <rPr>
        <b/>
        <sz val="10"/>
        <color indexed="12"/>
        <rFont val="Arial"/>
        <family val="2"/>
      </rPr>
      <t>PROJECT SCHEDULE/DURATION</t>
    </r>
    <r>
      <rPr>
        <sz val="10"/>
        <color indexed="12"/>
        <rFont val="Arial"/>
        <family val="2"/>
      </rPr>
      <t>: Use estimated project schedule</t>
    </r>
  </si>
  <si>
    <r>
      <rPr>
        <b/>
        <sz val="10"/>
        <color indexed="12"/>
        <rFont val="Arial"/>
        <family val="2"/>
      </rPr>
      <t xml:space="preserve">DATE: </t>
    </r>
    <r>
      <rPr>
        <sz val="10"/>
        <color indexed="12"/>
        <rFont val="Arial"/>
        <family val="2"/>
      </rPr>
      <t>The date used should be the date of the estimate. Date should be revised at major submittals.</t>
    </r>
  </si>
  <si>
    <r>
      <rPr>
        <b/>
        <sz val="10"/>
        <color indexed="12"/>
        <rFont val="Arial"/>
        <family val="2"/>
      </rPr>
      <t xml:space="preserve">BUDGET YEAR: </t>
    </r>
    <r>
      <rPr>
        <sz val="10"/>
        <color indexed="12"/>
        <rFont val="Arial"/>
        <family val="2"/>
      </rPr>
      <t>Use appropriate Budget Year for budget request for phase of project.</t>
    </r>
  </si>
  <si>
    <r>
      <rPr>
        <b/>
        <sz val="10"/>
        <color indexed="12"/>
        <rFont val="Arial"/>
        <family val="2"/>
      </rPr>
      <t>CCCI:</t>
    </r>
    <r>
      <rPr>
        <sz val="10"/>
        <color indexed="12"/>
        <rFont val="Arial"/>
        <family val="2"/>
      </rPr>
      <t xml:space="preserve"> Use the latest CCCI from the CSU Cost Guide. (Exception - for Group II Equipment only budget - the EPI is updated to current budget year, however the CCCI does not change from Construction phase.)</t>
    </r>
  </si>
  <si>
    <r>
      <rPr>
        <b/>
        <sz val="10"/>
        <color indexed="12"/>
        <rFont val="Arial"/>
        <family val="2"/>
      </rPr>
      <t xml:space="preserve">EPI: </t>
    </r>
    <r>
      <rPr>
        <sz val="10"/>
        <color indexed="12"/>
        <rFont val="Arial"/>
        <family val="2"/>
      </rPr>
      <t>Use the latest Equipment Price Index from the CSU Cost Guide.</t>
    </r>
  </si>
  <si>
    <r>
      <rPr>
        <b/>
        <sz val="10"/>
        <color indexed="12"/>
        <rFont val="Arial"/>
        <family val="2"/>
      </rPr>
      <t>NET AREA:</t>
    </r>
    <r>
      <rPr>
        <sz val="10"/>
        <color indexed="12"/>
        <rFont val="Arial"/>
        <family val="2"/>
      </rPr>
      <t xml:space="preserve"> The net area is the assignable square feet (ASF) taken from the Total New Area Requested on Form CPDC 2-4.</t>
    </r>
  </si>
  <si>
    <r>
      <rPr>
        <b/>
        <sz val="10"/>
        <color indexed="12"/>
        <rFont val="Arial"/>
        <family val="2"/>
      </rPr>
      <t xml:space="preserve">GROSS AREA: </t>
    </r>
    <r>
      <rPr>
        <sz val="10"/>
        <color indexed="12"/>
        <rFont val="Arial"/>
        <family val="2"/>
      </rPr>
      <t>The gross area is calculated by identifying the type of project and applying the efficiency as expressed in percent (see CSU Cost Guide).  To determine gross square feet, divide assignable square feet by efficiency.</t>
    </r>
  </si>
  <si>
    <r>
      <rPr>
        <b/>
        <sz val="10"/>
        <color indexed="12"/>
        <rFont val="Arial"/>
        <family val="2"/>
      </rPr>
      <t xml:space="preserve">EFFICIENCY: </t>
    </r>
    <r>
      <rPr>
        <sz val="10"/>
        <color indexed="12"/>
        <rFont val="Arial"/>
        <family val="2"/>
      </rPr>
      <t>Use the appropriate efficiency from the CSU Cost Guide for the pertinent Project Type.</t>
    </r>
  </si>
  <si>
    <t>Line Item 1</t>
  </si>
  <si>
    <r>
      <t xml:space="preserve">TOTAL BUILDING: </t>
    </r>
    <r>
      <rPr>
        <sz val="10"/>
        <rFont val="Arial"/>
        <family val="2"/>
      </rPr>
      <t>This is the total of Substructure, Shell, Interiors, Building Services, Equipment and Furnishing.</t>
    </r>
  </si>
  <si>
    <t>Cell Y31</t>
  </si>
  <si>
    <t>Cost per GSF for substructure, shell, interiors, building services and E20 Furnishings. Used to compare against CSU Cost Guide Base Unit cost w/out GC.</t>
  </si>
  <si>
    <t>Uniformat line F50</t>
  </si>
  <si>
    <r>
      <t xml:space="preserve">Sustainable Building Measures: To calculate go to </t>
    </r>
    <r>
      <rPr>
        <b/>
        <u/>
        <sz val="10"/>
        <color indexed="12"/>
        <rFont val="Arial"/>
        <family val="2"/>
      </rPr>
      <t>USER INPUT TAB</t>
    </r>
    <r>
      <rPr>
        <sz val="10"/>
        <color indexed="12"/>
        <rFont val="Arial"/>
        <family val="2"/>
      </rPr>
      <t xml:space="preserve"> and:</t>
    </r>
  </si>
  <si>
    <t>1. Select appropriate SPACE TYPE(s)</t>
  </si>
  <si>
    <t>2. Insert associated ASF per each Space Type</t>
  </si>
  <si>
    <t>3. Transfer calculated values onto these lines</t>
  </si>
  <si>
    <t>Line F60</t>
  </si>
  <si>
    <t>General Requirements, Building: Reference Contract Division 1 for items included in General Requirements</t>
  </si>
  <si>
    <r>
      <t>TOTAL Building</t>
    </r>
    <r>
      <rPr>
        <sz val="10"/>
        <rFont val="Arial"/>
        <family val="2"/>
      </rPr>
      <t>: This is the total of Uniformat Building divisions A-F.</t>
    </r>
  </si>
  <si>
    <t>Uniformat  line G1020</t>
  </si>
  <si>
    <t>Use 3 percent of the total building cost or provide actual estimate from feasibility study</t>
  </si>
  <si>
    <t>Uniformat  line G3040</t>
  </si>
  <si>
    <t>Transfer total Utility Costs from CPDC 2-8 Energy &amp; Utilities Checklist or provide supporting data</t>
  </si>
  <si>
    <t>Uniformat line G50</t>
  </si>
  <si>
    <r>
      <t xml:space="preserve">Sustainable Site Measures: To calculate go to </t>
    </r>
    <r>
      <rPr>
        <b/>
        <u/>
        <sz val="10"/>
        <color indexed="12"/>
        <rFont val="Arial"/>
        <family val="2"/>
      </rPr>
      <t>USER INPUT TAB</t>
    </r>
    <r>
      <rPr>
        <sz val="10"/>
        <color indexed="12"/>
        <rFont val="Arial"/>
        <family val="2"/>
      </rPr>
      <t xml:space="preserve"> and follow instructions per line F50</t>
    </r>
  </si>
  <si>
    <t>Uniformat line G100</t>
  </si>
  <si>
    <t>General Requirements, Sitework: Reference Contract Division 1 for items included in General Requirements</t>
  </si>
  <si>
    <t>Line Item 2</t>
  </si>
  <si>
    <r>
      <t>TOTAL SITEWORK</t>
    </r>
    <r>
      <rPr>
        <sz val="10"/>
        <rFont val="Arial"/>
        <family val="2"/>
      </rPr>
      <t>: This is the total of Site Prep, Improvements, Site Utilities, Landscape, Other Site Construction, and General Requirements.</t>
    </r>
  </si>
  <si>
    <t>Line Item 3</t>
  </si>
  <si>
    <r>
      <t xml:space="preserve">TOTAL BUILDING &amp; SITEWORK: </t>
    </r>
    <r>
      <rPr>
        <sz val="10"/>
        <rFont val="Arial"/>
        <family val="2"/>
      </rPr>
      <t>this is the total of Building and Sitework line items.</t>
    </r>
  </si>
  <si>
    <t>Line Item 4</t>
  </si>
  <si>
    <r>
      <rPr>
        <b/>
        <sz val="10"/>
        <rFont val="Arial"/>
        <family val="2"/>
      </rPr>
      <t>ESCALATION</t>
    </r>
    <r>
      <rPr>
        <sz val="10"/>
        <rFont val="Arial"/>
        <family val="2"/>
      </rPr>
      <t xml:space="preserve"> to Midpoint of Construction. This is a formula based on a percentage annual increase from beginning of project to midpoint of the construction duration. It is calculated  from July of Budget Year. NOTE: The Escalation to Midpoint is intended for the purpose of establishing the initial project budget. Once a project has been funded, the amount of escalation should decline to zero at bid (GMP).</t>
    </r>
  </si>
  <si>
    <t>Line Item 5</t>
  </si>
  <si>
    <r>
      <t xml:space="preserve">SUBTOTAL BUILDING, SITEWORK AND ESCALATION: </t>
    </r>
    <r>
      <rPr>
        <sz val="10"/>
        <rFont val="Arial"/>
        <family val="2"/>
      </rPr>
      <t>this includes total building and sitework plus the escalation cost and general requirements</t>
    </r>
  </si>
  <si>
    <t>Line Item 6</t>
  </si>
  <si>
    <r>
      <t>GENERAL CONDITIONS: T</t>
    </r>
    <r>
      <rPr>
        <sz val="10"/>
        <rFont val="Arial"/>
        <family val="2"/>
      </rPr>
      <t xml:space="preserve">his is a formula used to estimated General Conditions based on a percentage of the Total Building &amp; Site (Line Item 3). Percentage is dependent on Delivery Method selected. Refer to Delivery Method Fee Structure in </t>
    </r>
    <r>
      <rPr>
        <u/>
        <sz val="10"/>
        <rFont val="Arial"/>
        <family val="2"/>
      </rPr>
      <t>REFERENCE TAB</t>
    </r>
    <r>
      <rPr>
        <sz val="10"/>
        <rFont val="Arial"/>
        <family val="2"/>
      </rPr>
      <t xml:space="preserve"> for actual percentages and breakdown of General Conditions for CM@R.</t>
    </r>
  </si>
  <si>
    <t>Line Item 7</t>
  </si>
  <si>
    <r>
      <t xml:space="preserve">TOTAL CONSTRUCTION: </t>
    </r>
    <r>
      <rPr>
        <sz val="10"/>
        <rFont val="Arial"/>
        <family val="2"/>
      </rPr>
      <t xml:space="preserve">This includes total building and sitework, escalation to midpoint of construction, general conditions/overhead and profit. This is the basis for the Advertisement for Bid. </t>
    </r>
  </si>
  <si>
    <t xml:space="preserve">TOTAL GMP: For CM@R delivery only, formula adding total building and sitework, escalation to midpoint of construction and General Conditions, (broken down in detail for overhead and profit, Contingency, Pre-Con Services and CM Construction Services). This is the basis for the GMP. </t>
  </si>
  <si>
    <t>NOTE: Design Assist costs for CM@Risk Delivery projects ONLY: An amount equivalent to .5% of GMP will be included to cover the costs of Design Assist in the Typical Project Additional Services, Preliminary Design Phase, on 2-7 pages 2 and/or 3.    An equivalent amount will be deducted in the Typical Project Additional Services, Construction Phase, on 2-7 pages 2 and/or 3.  This procedure shifts the cost of Design Assist from the project Construction budget to the Preliminary Design budget, where Design Assist activities will occur. There is no net change to the project budget.</t>
  </si>
  <si>
    <t>Line Item 8</t>
  </si>
  <si>
    <r>
      <t xml:space="preserve">FEES &amp; CONTINGENCY: </t>
    </r>
    <r>
      <rPr>
        <sz val="10"/>
        <color indexed="8"/>
        <rFont val="Arial"/>
        <family val="2"/>
      </rPr>
      <t xml:space="preserve"> Reflects indirect soft costs for basic services (i.e. A/E fees, Campus Contingencies, Campus Contract Management).</t>
    </r>
  </si>
  <si>
    <t>Line Item 8a &amp; 8b</t>
  </si>
  <si>
    <r>
      <t xml:space="preserve">AE Services: Fees are summarized on page 2 and 3 based on calculations on </t>
    </r>
    <r>
      <rPr>
        <b/>
        <u/>
        <sz val="10"/>
        <color indexed="12"/>
        <rFont val="Arial"/>
        <family val="2"/>
      </rPr>
      <t>FEE CALCS TAB</t>
    </r>
    <r>
      <rPr>
        <u/>
        <sz val="10"/>
        <color indexed="12"/>
        <rFont val="Arial"/>
        <family val="2"/>
      </rPr>
      <t>.</t>
    </r>
  </si>
  <si>
    <r>
      <t xml:space="preserve">1. Select Project Type for both State/Self Support to generate fees. Refer to Project Type Schedule on </t>
    </r>
    <r>
      <rPr>
        <u/>
        <sz val="10"/>
        <color indexed="12"/>
        <rFont val="Arial"/>
        <family val="2"/>
      </rPr>
      <t>REFERENCE TAB</t>
    </r>
    <r>
      <rPr>
        <sz val="10"/>
        <color indexed="12"/>
        <rFont val="Arial"/>
        <family val="2"/>
      </rPr>
      <t>.</t>
    </r>
  </si>
  <si>
    <t>Line Item 8c</t>
  </si>
  <si>
    <t>Campus Contract Management Services: This budget of 7% of the total construction budget amount is for indirect costs such as testing, inspection, printing, project management fees, and campus administrative fees. For state-funded projects, this is inclusive of 1.5% CPDC and 5.5% University Admin Fee. For non-state funded projects, this is inclusive of 0.5% CPDC and 6.5% University Admin Fee (per SUAM 9034.01).</t>
  </si>
  <si>
    <t>Line Item 8d</t>
  </si>
  <si>
    <r>
      <t xml:space="preserve">Campus Project Contingency: A budget for reserve funds to assure successful completion of the project on time and within total budget. It is calculated as a percentage of Total Construction (line Item 7), this percentage varies dependent on delivery method selected. Refer to Delivery Method Fee Structure on the </t>
    </r>
    <r>
      <rPr>
        <u/>
        <sz val="10"/>
        <rFont val="Arial"/>
        <family val="2"/>
      </rPr>
      <t>REFERENCE TAB.</t>
    </r>
  </si>
  <si>
    <t>Line Item 9</t>
  </si>
  <si>
    <r>
      <t xml:space="preserve">SUBTOTAL CONSTRUCTION, FEES &amp; CONTINGENCY: </t>
    </r>
    <r>
      <rPr>
        <sz val="10"/>
        <rFont val="Arial"/>
        <family val="2"/>
      </rPr>
      <t>The sum of  the Total Construction cost and the total Fees and Contingency cost.</t>
    </r>
  </si>
  <si>
    <t>Line Item 10</t>
  </si>
  <si>
    <r>
      <t xml:space="preserve">CEQA ON-SITE/OFF-SITE MITIGATION COST: </t>
    </r>
    <r>
      <rPr>
        <sz val="10"/>
        <color indexed="12"/>
        <rFont val="Arial"/>
        <family val="2"/>
      </rPr>
      <t>Cost identifying negotiated mitigation cost per the BOT approved FEIR</t>
    </r>
  </si>
  <si>
    <t>Line Item 11</t>
  </si>
  <si>
    <r>
      <t>REQUIRED ADDITIONAL SERVICES DURING PW PHASE:</t>
    </r>
    <r>
      <rPr>
        <sz val="10"/>
        <rFont val="Arial"/>
        <family val="2"/>
      </rPr>
      <t xml:space="preserve"> References subtotals from page 2/3 for required additional services identified during PW. Note: Design Assist costs are included  for CM@Risk</t>
    </r>
  </si>
  <si>
    <t>Line Item 12</t>
  </si>
  <si>
    <r>
      <t>REQUIRED ADDITIONAL SERVICES DURING C PHASE:</t>
    </r>
    <r>
      <rPr>
        <sz val="10"/>
        <rFont val="Arial"/>
        <family val="2"/>
      </rPr>
      <t xml:space="preserve"> References subtotals from page 2/3 for required additional services identified during Construction. </t>
    </r>
  </si>
  <si>
    <t>Line Item 12a.</t>
  </si>
  <si>
    <t>Builders Risk Insurance Premium/ Seismic Fund - Assessed for projects over $656,000. See Instructions.</t>
  </si>
  <si>
    <t>Line Item 12b.</t>
  </si>
  <si>
    <t>Owner Controlled Insurance Premium - Assessed for projects of $10 million or more. See Instructions.</t>
  </si>
  <si>
    <r>
      <t xml:space="preserve">To calculate go to </t>
    </r>
    <r>
      <rPr>
        <b/>
        <u/>
        <sz val="10"/>
        <color indexed="12"/>
        <rFont val="Arial"/>
        <family val="2"/>
      </rPr>
      <t>INSURANCE TAB</t>
    </r>
    <r>
      <rPr>
        <sz val="10"/>
        <color indexed="12"/>
        <rFont val="Arial"/>
        <family val="2"/>
      </rPr>
      <t xml:space="preserve"> and:</t>
    </r>
  </si>
  <si>
    <t xml:space="preserve">1. Select Applicable Premium Rate from the table and insert onto line item F.
</t>
  </si>
  <si>
    <t>2. Provide Delay in Construction Coverage, if needed, on line item E.</t>
  </si>
  <si>
    <t xml:space="preserve">NOTE The BRIP/OCIP Insurance Premium amount will be automatically included in the Construction budget as part of subtotal Project Cost, Line 13. </t>
  </si>
  <si>
    <t>It is not necessary to subtract BRIP/OCIP fees from the Total Construction or GMP as insurance costs are no longer included in Uniformat building costs or Cost Guide budgets.</t>
  </si>
  <si>
    <t>Line Item 13</t>
  </si>
  <si>
    <r>
      <t xml:space="preserve">SUBTOTAL PROJECT COST Excluding Group II Equipment: </t>
    </r>
    <r>
      <rPr>
        <sz val="10"/>
        <rFont val="Arial"/>
        <family val="2"/>
      </rPr>
      <t>The sum of the Total Construction Costs, Fees and Insurance, Contingency and the Required Additional Services during PW and Construction.</t>
    </r>
  </si>
  <si>
    <t>Line Item 14</t>
  </si>
  <si>
    <r>
      <t xml:space="preserve">GROUP II EQUIPMENT: </t>
    </r>
    <r>
      <rPr>
        <sz val="10"/>
        <color indexed="12"/>
        <rFont val="Arial"/>
        <family val="2"/>
      </rPr>
      <t>Use amount calculated from USER INPUT tab, or CSU Cost Guide to identify the building type and corresponding Group II cost factor. Multiply the assignable square feet times correct cost factor.</t>
    </r>
  </si>
  <si>
    <t>Line Item 15</t>
  </si>
  <si>
    <r>
      <t xml:space="preserve">TOTAL PROJECT COST: </t>
    </r>
    <r>
      <rPr>
        <sz val="10"/>
        <rFont val="Arial"/>
        <family val="2"/>
      </rPr>
      <t xml:space="preserve">The sum of the Subtotal Project Costs, Group II Equipment and CEQA Mitigation Costs. </t>
    </r>
  </si>
  <si>
    <t>Line Item 16</t>
  </si>
  <si>
    <r>
      <t>PROJECT FUNDS:</t>
    </r>
    <r>
      <rPr>
        <sz val="10"/>
        <rFont val="Arial"/>
        <family val="2"/>
      </rPr>
      <t xml:space="preserve">  Project funds received for prior phases should be identified by the specific state or self-support budget or reserves. If funded by a separate budget appropriation, provide the budget chapter, item number,  value and project budget phase received. Projects with matching funds such as donor or reserve funds need to be identified.</t>
    </r>
  </si>
  <si>
    <t>Line Item 17</t>
  </si>
  <si>
    <r>
      <t>ADDITIONAL FUNDS REQUIRED:</t>
    </r>
    <r>
      <rPr>
        <sz val="10"/>
        <rFont val="Arial"/>
        <family val="2"/>
      </rPr>
      <t xml:space="preserve"> formula subtracting the total Project Funds in 16 previously allocated, from the Project Total in line 15.</t>
    </r>
  </si>
  <si>
    <t>Line Item 18</t>
  </si>
  <si>
    <r>
      <t xml:space="preserve">PROJECT FUND SCHEDULE: </t>
    </r>
    <r>
      <rPr>
        <sz val="10"/>
        <rFont val="Arial"/>
        <family val="2"/>
      </rPr>
      <t>identify amount and phase of funds already received, being requested in the budget year, and future need.</t>
    </r>
  </si>
  <si>
    <t>TAB 2-7: Estimate Tools (Below the Printable Area on Page 1)</t>
  </si>
  <si>
    <t>Cell S87</t>
  </si>
  <si>
    <r>
      <t xml:space="preserve">BASELINE ESTIMATE MODIFIER: </t>
    </r>
    <r>
      <rPr>
        <sz val="10"/>
        <rFont val="Arial"/>
        <family val="2"/>
      </rPr>
      <t>Used to calculate CCCI/EPI adjustments for cost estimates generated in the past. Select the year the cost estimate was generated, than reference within the uniformat cells to apply the modifier to the line item.</t>
    </r>
  </si>
  <si>
    <t>USER INPUT TAB</t>
  </si>
  <si>
    <r>
      <t xml:space="preserve">OUTYEAR CALCULATIONS: </t>
    </r>
    <r>
      <rPr>
        <sz val="10"/>
        <rFont val="Arial"/>
        <family val="2"/>
      </rPr>
      <t>If cost estimates/feasibility studies  are not yet available for a project scheduled for funding in an outyear, the USER INPUT tab may be used to generate building and equipment costs by space type and square footage. Reference Cells L28, N28, and Q28 on the User Input worksheet. Adjust the Beginning of Budget Year on the REFERENCE Tab to the appropriate out year and provide an appropriate project schedule on the 2-7 for the project start through construction completion dates.</t>
    </r>
  </si>
  <si>
    <t>TAB 2-8: SITE UTILITIES PLANNING CHECKLIST /ESTIMATE</t>
  </si>
  <si>
    <t>Cell x</t>
  </si>
  <si>
    <t>Follow Instructions included on this Tab. Contact University Planner for additional assistance.</t>
  </si>
  <si>
    <t>2021/22</t>
  </si>
  <si>
    <t>2022/23</t>
  </si>
  <si>
    <t>2023/24</t>
  </si>
  <si>
    <t>Includes PM fees.</t>
  </si>
  <si>
    <t>6 -</t>
  </si>
  <si>
    <t>Does not include PM fees.</t>
  </si>
  <si>
    <t>5 -</t>
  </si>
  <si>
    <t>Hypothetical totals if all scopes of services in each firm's column is used.</t>
  </si>
  <si>
    <t>4 -</t>
  </si>
  <si>
    <t>Assume minimum need of one month.</t>
  </si>
  <si>
    <t>3 -</t>
  </si>
  <si>
    <t>separate service.</t>
  </si>
  <si>
    <t xml:space="preserve">Assuming these tasks relate to the others listed here, and not construction management/owner’s rep activities, for instance, then they do not charge for management/coordination as a </t>
  </si>
  <si>
    <t>2 -</t>
  </si>
  <si>
    <t>Assume PM need for minimum of twelve months.</t>
  </si>
  <si>
    <t>1 -</t>
  </si>
  <si>
    <t>Notes:</t>
  </si>
  <si>
    <t>$216,000-800,000
(see note 6)</t>
  </si>
  <si>
    <t>$172,500-300,000
(see note 5)</t>
  </si>
  <si>
    <t>$350,000-595,000</t>
  </si>
  <si>
    <t>$255,000-$530,000</t>
  </si>
  <si>
    <t>$103,500-180,000
(see note 5)</t>
  </si>
  <si>
    <r>
      <t xml:space="preserve">Total </t>
    </r>
    <r>
      <rPr>
        <sz val="12"/>
        <color theme="1"/>
        <rFont val="Times New Roman"/>
        <family val="1"/>
      </rPr>
      <t>(see note 4)</t>
    </r>
  </si>
  <si>
    <t>$25,000-45,000</t>
  </si>
  <si>
    <t>$20,000-35,000/mo.</t>
  </si>
  <si>
    <t>$25,000-35,000</t>
  </si>
  <si>
    <t>Negotiation of Deal Terms / Best &amp; Final Offer with Developer 
(see note 3)</t>
  </si>
  <si>
    <t>4f)</t>
  </si>
  <si>
    <t>$30,000-40,000</t>
  </si>
  <si>
    <t>Evaluation of Developer Proposals (RFP)</t>
  </si>
  <si>
    <t>4e)</t>
  </si>
  <si>
    <t>$20,000-25,000</t>
  </si>
  <si>
    <t>$75,000-125,000</t>
  </si>
  <si>
    <t>Evaluation of Developer Qualifications (RFQ)</t>
  </si>
  <si>
    <t>4d)</t>
  </si>
  <si>
    <t>$7,500-10,000</t>
  </si>
  <si>
    <t>$25,000-40,000</t>
  </si>
  <si>
    <t>$7,500-15,000</t>
  </si>
  <si>
    <t>Market Sounding / Market Outreach to Developers</t>
  </si>
  <si>
    <t>4c)</t>
  </si>
  <si>
    <t>$15,000-20,000</t>
  </si>
  <si>
    <t>Prepare RFP Document</t>
  </si>
  <si>
    <t>4b)</t>
  </si>
  <si>
    <t>$10,000-15,000</t>
  </si>
  <si>
    <t>$150,000-200,000</t>
  </si>
  <si>
    <t>$20,000-30,000</t>
  </si>
  <si>
    <t>Prepare RFQ Document</t>
  </si>
  <si>
    <t>4a)</t>
  </si>
  <si>
    <t>$75,000-400,000</t>
  </si>
  <si>
    <t>$107,500-155,000</t>
  </si>
  <si>
    <t>$270,000-400,000</t>
  </si>
  <si>
    <t>$75,000-150,000</t>
  </si>
  <si>
    <t>$82,500-120,000</t>
  </si>
  <si>
    <t>RFQ and RFP Process</t>
  </si>
  <si>
    <t>4)</t>
  </si>
  <si>
    <t>120,000-180,000</t>
  </si>
  <si>
    <t>(see note 2)</t>
  </si>
  <si>
    <t>$10,000-15,000/mo.</t>
  </si>
  <si>
    <r>
      <t xml:space="preserve">Project Management </t>
    </r>
    <r>
      <rPr>
        <sz val="12"/>
        <color theme="1"/>
        <rFont val="Times New Roman"/>
        <family val="1"/>
      </rPr>
      <t>(see note 1)</t>
    </r>
  </si>
  <si>
    <t>3)</t>
  </si>
  <si>
    <t>$6,000-120,000</t>
  </si>
  <si>
    <t>$40,000-75,000</t>
  </si>
  <si>
    <t>$50,000-120,000</t>
  </si>
  <si>
    <t>$25,000-100,000</t>
  </si>
  <si>
    <t>$6,000-15,000</t>
  </si>
  <si>
    <r>
      <rPr>
        <b/>
        <sz val="12"/>
        <color theme="1"/>
        <rFont val="Times New Roman"/>
        <family val="1"/>
      </rPr>
      <t>Feasibility Analysis</t>
    </r>
    <r>
      <rPr>
        <sz val="12"/>
        <color theme="1"/>
        <rFont val="Times New Roman"/>
        <family val="1"/>
      </rPr>
      <t xml:space="preserve"> including:
-Supporting Market Research
-Pro Forma with Multiyear Cash Flow
-P3 vs. non-P3 Comparison</t>
    </r>
  </si>
  <si>
    <t>2)</t>
  </si>
  <si>
    <t>$15,000-100,000</t>
  </si>
  <si>
    <t>$25,000-70,000</t>
  </si>
  <si>
    <t>$30,000-75,000</t>
  </si>
  <si>
    <t>$35,000-100,000</t>
  </si>
  <si>
    <t>$15,000-45,000</t>
  </si>
  <si>
    <t>Market Demand Analysis</t>
  </si>
  <si>
    <t>1)</t>
  </si>
  <si>
    <t>Low-High Range</t>
  </si>
  <si>
    <t>Firm 4</t>
  </si>
  <si>
    <t>Firm 3</t>
  </si>
  <si>
    <t>Firm 2</t>
  </si>
  <si>
    <t>Firm 1</t>
  </si>
  <si>
    <t>$50,000-1,180,000</t>
  </si>
  <si>
    <t>$50,000-265,000</t>
  </si>
  <si>
    <t>Outside Counsel Legal Fees</t>
  </si>
  <si>
    <t>PSA for Build-to-Suit with CC&amp;Rs</t>
  </si>
  <si>
    <t>Master Plan ENA</t>
  </si>
  <si>
    <t>Using Developer Ground Lease</t>
  </si>
  <si>
    <t>Using CSU P3 Ground Lease Template</t>
  </si>
  <si>
    <t>Campus Estimate</t>
  </si>
  <si>
    <t>Developer Estimate</t>
  </si>
  <si>
    <t>Auxiliary Estimate</t>
  </si>
  <si>
    <t>Other Estimate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</si>
</sst>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2">
    <numFmt numFmtId="5" formatCode="&quot;$&quot;#,##0_);\(&quot;$&quot;#,##0\)"/>
    <numFmt numFmtId="6" formatCode="&quot;$&quot;#,##0_);[Red]\(&quot;$&quot;#,##0\)"/>
    <numFmt numFmtId="7" formatCode="&quot;$&quot;#,##0.00_);\(&quot;$&quot;#,##0.00\)"/>
    <numFmt numFmtId="8" formatCode="&quot;$&quot;#,##0.00_);[Red]\(&quot;$&quot;#,##0.00\)"/>
    <numFmt numFmtId="42" formatCode="_(&quot;$&quot;* #,##0_);_(&quot;$&quot;* \(#,##0\);_(&quot;$&quot;* &quot;-&quot;_);_(@_)"/>
    <numFmt numFmtId="44" formatCode="_(&quot;$&quot;* #,##0.00_);_(&quot;$&quot;* \(#,##0.00\);_(&quot;$&quot;* &quot;-&quot;??_);_(@_)"/>
    <numFmt numFmtId="43" formatCode="_(* #,##0.00_);_(* \(#,##0.00\);_(* &quot;-&quot;??_);_(@_)"/>
    <numFmt numFmtId="164" formatCode="#,##0.000"/>
    <numFmt numFmtId="165" formatCode="0.000"/>
    <numFmt numFmtId="166" formatCode="0.0"/>
    <numFmt numFmtId="167" formatCode="0.0000%"/>
    <numFmt numFmtId="168" formatCode="&quot;$&quot;#,##0.00"/>
    <numFmt numFmtId="169" formatCode="&quot;$&quot;#,##0"/>
    <numFmt numFmtId="170" formatCode="mm/dd/yy"/>
    <numFmt numFmtId="171" formatCode="[$-409]mmm\-yy;@"/>
    <numFmt numFmtId="172" formatCode="#,##0.0000"/>
    <numFmt numFmtId="173" formatCode="[$-409]mmmm\ d\,\ yyyy;@"/>
    <numFmt numFmtId="174" formatCode="0.0000"/>
    <numFmt numFmtId="175" formatCode="0.000%"/>
    <numFmt numFmtId="176" formatCode="0.0%"/>
    <numFmt numFmtId="177" formatCode="_(&quot;$&quot;* #,##0_);_(&quot;$&quot;* \(#,##0\);_(&quot;$&quot;* &quot;-&quot;??_);_(@_)"/>
    <numFmt numFmtId="178" formatCode="m/d;@"/>
  </numFmts>
  <fonts count="112">
    <font>
      <sz val="10"/>
      <name val="Tms Rmn"/>
    </font>
    <font>
      <sz val="11"/>
      <color theme="1"/>
      <name val="Calibri"/>
      <family val="2"/>
      <scheme val="minor"/>
    </font>
    <font>
      <b/>
      <sz val="10"/>
      <name val="Tms Rmn"/>
    </font>
    <font>
      <sz val="10"/>
      <name val="Geneva"/>
    </font>
    <font>
      <sz val="9"/>
      <name val="Arial"/>
      <family val="2"/>
    </font>
    <font>
      <b/>
      <sz val="9"/>
      <name val="Arial"/>
      <family val="2"/>
    </font>
    <font>
      <b/>
      <i/>
      <sz val="9"/>
      <name val="Arial"/>
      <family val="2"/>
    </font>
    <font>
      <u/>
      <sz val="9"/>
      <name val="Arial"/>
      <family val="2"/>
    </font>
    <font>
      <b/>
      <u val="singleAccounting"/>
      <sz val="9"/>
      <name val="Arial"/>
      <family val="2"/>
    </font>
    <font>
      <sz val="8"/>
      <name val="Arial"/>
      <family val="2"/>
    </font>
    <font>
      <b/>
      <sz val="8"/>
      <name val="Arial"/>
      <family val="2"/>
    </font>
    <font>
      <sz val="9"/>
      <color indexed="12"/>
      <name val="Arial"/>
      <family val="2"/>
    </font>
    <font>
      <sz val="9"/>
      <color indexed="8"/>
      <name val="Arial"/>
      <family val="2"/>
    </font>
    <font>
      <b/>
      <u/>
      <sz val="9"/>
      <name val="Arial"/>
      <family val="2"/>
    </font>
    <font>
      <sz val="10"/>
      <name val="Arial"/>
      <family val="2"/>
    </font>
    <font>
      <b/>
      <sz val="10"/>
      <name val="Arial"/>
      <family val="2"/>
    </font>
    <font>
      <b/>
      <sz val="10"/>
      <color indexed="12"/>
      <name val="Arial"/>
      <family val="2"/>
    </font>
    <font>
      <sz val="10"/>
      <color indexed="12"/>
      <name val="Arial"/>
      <family val="2"/>
    </font>
    <font>
      <u/>
      <sz val="10"/>
      <color indexed="12"/>
      <name val="Tms Rmn"/>
    </font>
    <font>
      <sz val="10"/>
      <color indexed="10"/>
      <name val="Arial"/>
      <family val="2"/>
    </font>
    <font>
      <sz val="8"/>
      <color indexed="81"/>
      <name val="Tahoma"/>
      <family val="2"/>
    </font>
    <font>
      <b/>
      <i/>
      <sz val="10"/>
      <name val="Arial"/>
      <family val="2"/>
    </font>
    <font>
      <b/>
      <sz val="12"/>
      <name val="Arial"/>
      <family val="2"/>
    </font>
    <font>
      <sz val="10"/>
      <color indexed="9"/>
      <name val="Times New Roman"/>
      <family val="1"/>
    </font>
    <font>
      <sz val="10"/>
      <color indexed="10"/>
      <name val="Times New Roman"/>
      <family val="1"/>
    </font>
    <font>
      <sz val="10"/>
      <name val="Times New Roman"/>
      <family val="1"/>
    </font>
    <font>
      <b/>
      <sz val="10"/>
      <color indexed="10"/>
      <name val="Arial"/>
      <family val="2"/>
    </font>
    <font>
      <sz val="12"/>
      <color indexed="9"/>
      <name val="Arial"/>
      <family val="2"/>
    </font>
    <font>
      <sz val="12"/>
      <color indexed="8"/>
      <name val="Wingdings"/>
      <charset val="2"/>
    </font>
    <font>
      <sz val="10"/>
      <color indexed="9"/>
      <name val="Arial"/>
      <family val="2"/>
    </font>
    <font>
      <b/>
      <u/>
      <sz val="10"/>
      <name val="Arial"/>
      <family val="2"/>
    </font>
    <font>
      <u/>
      <sz val="10"/>
      <name val="Arial"/>
      <family val="2"/>
    </font>
    <font>
      <sz val="8"/>
      <color indexed="9"/>
      <name val="Times New Roman"/>
      <family val="1"/>
    </font>
    <font>
      <sz val="8"/>
      <color indexed="10"/>
      <name val="Times New Roman"/>
      <family val="1"/>
    </font>
    <font>
      <sz val="8"/>
      <name val="Times New Roman"/>
      <family val="1"/>
    </font>
    <font>
      <sz val="11"/>
      <name val="Arial"/>
      <family val="2"/>
    </font>
    <font>
      <u/>
      <sz val="10"/>
      <color indexed="12"/>
      <name val="Arial"/>
      <family val="2"/>
    </font>
    <font>
      <i/>
      <sz val="8"/>
      <name val="Arial"/>
      <family val="2"/>
    </font>
    <font>
      <i/>
      <sz val="9"/>
      <name val="Arial"/>
      <family val="2"/>
    </font>
    <font>
      <i/>
      <sz val="10"/>
      <name val="Arial"/>
      <family val="2"/>
    </font>
    <font>
      <i/>
      <sz val="10"/>
      <name val="Times New Roman"/>
      <family val="1"/>
    </font>
    <font>
      <sz val="10"/>
      <color indexed="81"/>
      <name val="Tahoma"/>
      <family val="2"/>
    </font>
    <font>
      <b/>
      <sz val="10"/>
      <color indexed="81"/>
      <name val="Tahoma"/>
      <family val="2"/>
    </font>
    <font>
      <b/>
      <sz val="14"/>
      <name val="Arial"/>
      <family val="2"/>
    </font>
    <font>
      <b/>
      <i/>
      <sz val="12"/>
      <name val="Arial"/>
      <family val="2"/>
    </font>
    <font>
      <b/>
      <sz val="16"/>
      <name val="Arial"/>
      <family val="2"/>
    </font>
    <font>
      <sz val="12"/>
      <name val="Arial"/>
      <family val="2"/>
    </font>
    <font>
      <b/>
      <sz val="8"/>
      <color indexed="81"/>
      <name val="Tahoma"/>
      <family val="2"/>
    </font>
    <font>
      <u/>
      <sz val="8"/>
      <color indexed="81"/>
      <name val="Tahoma"/>
      <family val="2"/>
    </font>
    <font>
      <b/>
      <sz val="12"/>
      <color indexed="10"/>
      <name val="Arial"/>
      <family val="2"/>
    </font>
    <font>
      <b/>
      <sz val="16"/>
      <color indexed="9"/>
      <name val="Arial"/>
      <family val="2"/>
    </font>
    <font>
      <b/>
      <sz val="10"/>
      <color indexed="9"/>
      <name val="Arial"/>
      <family val="2"/>
    </font>
    <font>
      <sz val="10"/>
      <color indexed="23"/>
      <name val="Arial"/>
      <family val="2"/>
    </font>
    <font>
      <b/>
      <sz val="9"/>
      <color indexed="9"/>
      <name val="Arial"/>
      <family val="2"/>
    </font>
    <font>
      <b/>
      <sz val="6"/>
      <color indexed="9"/>
      <name val="Arial"/>
      <family val="2"/>
    </font>
    <font>
      <b/>
      <u/>
      <sz val="10"/>
      <color indexed="10"/>
      <name val="Arial"/>
      <family val="2"/>
    </font>
    <font>
      <sz val="12"/>
      <color indexed="10"/>
      <name val="Arial"/>
      <family val="2"/>
    </font>
    <font>
      <b/>
      <sz val="10"/>
      <color indexed="8"/>
      <name val="Arial"/>
      <family val="2"/>
    </font>
    <font>
      <sz val="10"/>
      <color indexed="8"/>
      <name val="Arial"/>
      <family val="2"/>
    </font>
    <font>
      <b/>
      <u/>
      <sz val="10"/>
      <color indexed="12"/>
      <name val="Arial"/>
      <family val="2"/>
    </font>
    <font>
      <u/>
      <sz val="8"/>
      <name val="Arial"/>
      <family val="2"/>
    </font>
    <font>
      <b/>
      <sz val="9"/>
      <color indexed="8"/>
      <name val="Arial"/>
      <family val="2"/>
    </font>
    <font>
      <u/>
      <sz val="9"/>
      <color indexed="8"/>
      <name val="Arial"/>
      <family val="2"/>
    </font>
    <font>
      <b/>
      <u/>
      <sz val="9"/>
      <color indexed="8"/>
      <name val="Arial"/>
      <family val="2"/>
    </font>
    <font>
      <sz val="9"/>
      <color indexed="10"/>
      <name val="Arial"/>
      <family val="2"/>
    </font>
    <font>
      <sz val="10"/>
      <name val="Arial"/>
      <family val="2"/>
    </font>
    <font>
      <sz val="9"/>
      <color indexed="8"/>
      <name val="Wingdings"/>
      <charset val="2"/>
    </font>
    <font>
      <sz val="8"/>
      <color indexed="12"/>
      <name val="Arial"/>
      <family val="2"/>
    </font>
    <font>
      <b/>
      <i/>
      <sz val="8"/>
      <name val="Arial"/>
      <family val="2"/>
    </font>
    <font>
      <u/>
      <sz val="12"/>
      <color indexed="12"/>
      <name val="Arial"/>
      <family val="2"/>
    </font>
    <font>
      <sz val="10"/>
      <color indexed="36"/>
      <name val="Arial"/>
      <family val="2"/>
    </font>
    <font>
      <sz val="9"/>
      <color indexed="81"/>
      <name val="Tahoma"/>
      <family val="2"/>
    </font>
    <font>
      <sz val="9"/>
      <color rgb="FFFF0000"/>
      <name val="Arial"/>
      <family val="2"/>
    </font>
    <font>
      <b/>
      <sz val="9"/>
      <color rgb="FFFF0000"/>
      <name val="Arial"/>
      <family val="2"/>
    </font>
    <font>
      <b/>
      <u val="singleAccounting"/>
      <sz val="9"/>
      <color rgb="FFFF0000"/>
      <name val="Arial"/>
      <family val="2"/>
    </font>
    <font>
      <sz val="8"/>
      <color rgb="FFFF0000"/>
      <name val="Arial"/>
      <family val="2"/>
    </font>
    <font>
      <sz val="10"/>
      <color rgb="FFFF0000"/>
      <name val="Arial"/>
      <family val="2"/>
    </font>
    <font>
      <b/>
      <sz val="10"/>
      <color rgb="FF669900"/>
      <name val="Arial"/>
      <family val="2"/>
    </font>
    <font>
      <sz val="9"/>
      <color rgb="FF0000FF"/>
      <name val="Arial"/>
      <family val="2"/>
    </font>
    <font>
      <u/>
      <sz val="9"/>
      <color rgb="FFFF0000"/>
      <name val="Arial"/>
      <family val="2"/>
    </font>
    <font>
      <b/>
      <u/>
      <sz val="9"/>
      <color rgb="FFFF0000"/>
      <name val="Arial"/>
      <family val="2"/>
    </font>
    <font>
      <u val="singleAccounting"/>
      <sz val="9"/>
      <color rgb="FFFF0000"/>
      <name val="Arial"/>
      <family val="2"/>
    </font>
    <font>
      <b/>
      <sz val="10"/>
      <color rgb="FF0000FF"/>
      <name val="Arial"/>
      <family val="2"/>
    </font>
    <font>
      <sz val="10"/>
      <color rgb="FF0000FF"/>
      <name val="Arial"/>
      <family val="2"/>
    </font>
    <font>
      <sz val="7"/>
      <color rgb="FFFF0000"/>
      <name val="Arial"/>
      <family val="2"/>
    </font>
    <font>
      <b/>
      <sz val="10"/>
      <color rgb="FFFF0000"/>
      <name val="Arial"/>
      <family val="2"/>
    </font>
    <font>
      <sz val="9"/>
      <color theme="1"/>
      <name val="Arial"/>
      <family val="2"/>
    </font>
    <font>
      <i/>
      <sz val="9"/>
      <color theme="1"/>
      <name val="Arial"/>
      <family val="2"/>
    </font>
    <font>
      <sz val="8"/>
      <color theme="1"/>
      <name val="Arial"/>
      <family val="2"/>
    </font>
    <font>
      <b/>
      <sz val="9"/>
      <color theme="1"/>
      <name val="Arial"/>
      <family val="2"/>
    </font>
    <font>
      <sz val="9"/>
      <color theme="9"/>
      <name val="Arial"/>
      <family val="2"/>
    </font>
    <font>
      <b/>
      <sz val="9"/>
      <color rgb="FF0000FF"/>
      <name val="Arial"/>
      <family val="2"/>
    </font>
    <font>
      <i/>
      <sz val="10"/>
      <color rgb="FFFF0000"/>
      <name val="Arial"/>
      <family val="2"/>
    </font>
    <font>
      <sz val="9"/>
      <color rgb="FF3333FF"/>
      <name val="Arial"/>
      <family val="2"/>
    </font>
    <font>
      <b/>
      <sz val="9"/>
      <color rgb="FF3333FF"/>
      <name val="Arial"/>
      <family val="2"/>
    </font>
    <font>
      <sz val="10"/>
      <color theme="0"/>
      <name val="Times New Roman"/>
      <family val="1"/>
    </font>
    <font>
      <sz val="10"/>
      <color theme="0"/>
      <name val="Arial"/>
      <family val="2"/>
    </font>
    <font>
      <sz val="12"/>
      <color theme="0"/>
      <name val="Arial"/>
      <family val="2"/>
    </font>
    <font>
      <sz val="8"/>
      <color theme="0"/>
      <name val="Times New Roman"/>
      <family val="1"/>
    </font>
    <font>
      <sz val="10"/>
      <color rgb="FF7030A0"/>
      <name val="Arial"/>
      <family val="2"/>
    </font>
    <font>
      <sz val="10"/>
      <color rgb="FF3333FF"/>
      <name val="Arial"/>
      <family val="2"/>
    </font>
    <font>
      <sz val="10"/>
      <color rgb="FF3333FF"/>
      <name val="Tms Rmn"/>
    </font>
    <font>
      <b/>
      <sz val="10"/>
      <color rgb="FF3333FF"/>
      <name val="Arial"/>
      <family val="2"/>
    </font>
    <font>
      <i/>
      <sz val="9"/>
      <color rgb="FF3333FF"/>
      <name val="Arial"/>
      <family val="2"/>
    </font>
    <font>
      <b/>
      <strike/>
      <sz val="9"/>
      <name val="Arial"/>
      <family val="2"/>
    </font>
    <font>
      <strike/>
      <sz val="9"/>
      <name val="Arial"/>
      <family val="2"/>
    </font>
    <font>
      <strike/>
      <sz val="8"/>
      <name val="Arial"/>
      <family val="2"/>
    </font>
    <font>
      <b/>
      <sz val="9"/>
      <color indexed="81"/>
      <name val="Tahoma"/>
      <family val="2"/>
    </font>
    <font>
      <sz val="9"/>
      <color indexed="81"/>
      <name val="Tahoma"/>
      <charset val="1"/>
    </font>
    <font>
      <b/>
      <sz val="11"/>
      <color theme="1"/>
      <name val="Calibri"/>
      <family val="2"/>
      <scheme val="minor"/>
    </font>
    <font>
      <sz val="12"/>
      <color theme="1"/>
      <name val="Times New Roman"/>
      <family val="1"/>
    </font>
    <font>
      <b/>
      <sz val="12"/>
      <color theme="1"/>
      <name val="Times New Roman"/>
      <family val="1"/>
    </font>
  </fonts>
  <fills count="20">
    <fill>
      <patternFill patternType="none"/>
    </fill>
    <fill>
      <patternFill patternType="gray125"/>
    </fill>
    <fill>
      <patternFill patternType="solid">
        <fgColor indexed="65"/>
        <bgColor indexed="64"/>
      </patternFill>
    </fill>
    <fill>
      <patternFill patternType="solid">
        <fgColor indexed="22"/>
        <bgColor indexed="64"/>
      </patternFill>
    </fill>
    <fill>
      <patternFill patternType="solid">
        <fgColor indexed="9"/>
        <bgColor indexed="64"/>
      </patternFill>
    </fill>
    <fill>
      <patternFill patternType="solid">
        <fgColor rgb="FFFFFF00"/>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theme="6" tint="-0.249977111117893"/>
        <bgColor indexed="64"/>
      </patternFill>
    </fill>
    <fill>
      <patternFill patternType="solid">
        <fgColor rgb="FF669900"/>
        <bgColor indexed="64"/>
      </patternFill>
    </fill>
    <fill>
      <patternFill patternType="solid">
        <fgColor theme="6" tint="0.59999389629810485"/>
        <bgColor indexed="64"/>
      </patternFill>
    </fill>
    <fill>
      <patternFill patternType="solid">
        <fgColor rgb="FFFFFFCC"/>
        <bgColor indexed="64"/>
      </patternFill>
    </fill>
    <fill>
      <patternFill patternType="solid">
        <fgColor theme="0" tint="-0.34998626667073579"/>
        <bgColor indexed="64"/>
      </patternFill>
    </fill>
    <fill>
      <patternFill patternType="solid">
        <fgColor rgb="FF99CC00"/>
        <bgColor indexed="64"/>
      </patternFill>
    </fill>
    <fill>
      <patternFill patternType="solid">
        <fgColor theme="0" tint="-0.14999847407452621"/>
        <bgColor indexed="64"/>
      </patternFill>
    </fill>
    <fill>
      <patternFill patternType="solid">
        <fgColor rgb="FFFFFF66"/>
        <bgColor indexed="64"/>
      </patternFill>
    </fill>
    <fill>
      <patternFill patternType="solid">
        <fgColor theme="0"/>
        <bgColor indexed="64"/>
      </patternFill>
    </fill>
    <fill>
      <patternFill patternType="solid">
        <fgColor theme="8" tint="0.39997558519241921"/>
        <bgColor indexed="64"/>
      </patternFill>
    </fill>
    <fill>
      <patternFill patternType="solid">
        <fgColor theme="7" tint="0.39997558519241921"/>
        <bgColor indexed="64"/>
      </patternFill>
    </fill>
    <fill>
      <patternFill patternType="solid">
        <fgColor theme="6" tint="0.39997558519241921"/>
        <bgColor indexed="64"/>
      </patternFill>
    </fill>
  </fills>
  <borders count="80">
    <border>
      <left/>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right/>
      <top/>
      <bottom style="medium">
        <color indexed="64"/>
      </bottom>
      <diagonal/>
    </border>
    <border>
      <left style="thin">
        <color indexed="64"/>
      </left>
      <right/>
      <top style="medium">
        <color indexed="64"/>
      </top>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dotted">
        <color indexed="64"/>
      </left>
      <right style="dotted">
        <color indexed="64"/>
      </right>
      <top style="dotted">
        <color indexed="64"/>
      </top>
      <bottom style="dotted">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right/>
      <top style="medium">
        <color indexed="64"/>
      </top>
      <bottom style="thin">
        <color indexed="64"/>
      </bottom>
      <diagonal/>
    </border>
    <border>
      <left style="medium">
        <color indexed="64"/>
      </left>
      <right/>
      <top/>
      <bottom style="thin">
        <color indexed="64"/>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style="medium">
        <color indexed="64"/>
      </left>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top/>
      <bottom style="thin">
        <color rgb="FF0000FF"/>
      </bottom>
      <diagonal/>
    </border>
    <border>
      <left/>
      <right/>
      <top style="thin">
        <color rgb="FF0000FF"/>
      </top>
      <bottom style="thin">
        <color indexed="64"/>
      </bottom>
      <diagonal/>
    </border>
    <border>
      <left/>
      <right/>
      <top style="thin">
        <color rgb="FF0000FF"/>
      </top>
      <bottom style="thin">
        <color rgb="FF0000FF"/>
      </bottom>
      <diagonal/>
    </border>
    <border>
      <left/>
      <right/>
      <top/>
      <bottom style="thin">
        <color rgb="FFFF0000"/>
      </bottom>
      <diagonal/>
    </border>
    <border>
      <left/>
      <right/>
      <top style="thin">
        <color rgb="FF0000FF"/>
      </top>
      <bottom/>
      <diagonal/>
    </border>
    <border>
      <left/>
      <right style="thin">
        <color indexed="64"/>
      </right>
      <top style="thin">
        <color rgb="FF0000FF"/>
      </top>
      <bottom style="thin">
        <color indexed="64"/>
      </bottom>
      <diagonal/>
    </border>
    <border>
      <left/>
      <right style="thin">
        <color indexed="64"/>
      </right>
      <top/>
      <bottom style="thin">
        <color rgb="FF0000FF"/>
      </bottom>
      <diagonal/>
    </border>
    <border>
      <left/>
      <right style="thin">
        <color indexed="64"/>
      </right>
      <top style="thin">
        <color rgb="FF0000FF"/>
      </top>
      <bottom style="thin">
        <color rgb="FF0000FF"/>
      </bottom>
      <diagonal/>
    </border>
  </borders>
  <cellStyleXfs count="9">
    <xf numFmtId="0" fontId="0" fillId="0" borderId="0"/>
    <xf numFmtId="4" fontId="3" fillId="0" borderId="0" applyFont="0" applyFill="0" applyBorder="0" applyAlignment="0" applyProtection="0"/>
    <xf numFmtId="43" fontId="65" fillId="0" borderId="0" applyFont="0" applyFill="0" applyBorder="0" applyAlignment="0" applyProtection="0"/>
    <xf numFmtId="8" fontId="3" fillId="0" borderId="0" applyFont="0" applyFill="0" applyBorder="0" applyAlignment="0" applyProtection="0"/>
    <xf numFmtId="44" fontId="65" fillId="0" borderId="0" applyFont="0" applyFill="0" applyBorder="0" applyAlignment="0" applyProtection="0"/>
    <xf numFmtId="0" fontId="36" fillId="0" borderId="0" applyNumberFormat="0" applyFill="0" applyBorder="0" applyAlignment="0" applyProtection="0">
      <alignment vertical="top"/>
      <protection locked="0"/>
    </xf>
    <xf numFmtId="0" fontId="65" fillId="0" borderId="0"/>
    <xf numFmtId="9" fontId="3" fillId="0" borderId="0" applyFont="0" applyFill="0" applyBorder="0" applyAlignment="0" applyProtection="0"/>
    <xf numFmtId="0" fontId="1" fillId="0" borderId="0"/>
  </cellStyleXfs>
  <cellXfs count="1519">
    <xf numFmtId="0" fontId="0" fillId="0" borderId="0" xfId="0"/>
    <xf numFmtId="0" fontId="4" fillId="0" borderId="1" xfId="0" applyFont="1" applyBorder="1" applyAlignment="1"/>
    <xf numFmtId="0" fontId="4" fillId="0" borderId="2" xfId="0" applyFont="1" applyBorder="1"/>
    <xf numFmtId="0" fontId="4" fillId="0" borderId="1" xfId="0" applyFont="1" applyBorder="1"/>
    <xf numFmtId="0" fontId="5" fillId="0" borderId="1" xfId="0" applyFont="1" applyBorder="1" applyAlignment="1">
      <alignment horizontal="center"/>
    </xf>
    <xf numFmtId="0" fontId="4" fillId="0" borderId="0" xfId="0" applyFont="1"/>
    <xf numFmtId="0" fontId="4" fillId="0" borderId="4" xfId="0" applyFont="1" applyBorder="1"/>
    <xf numFmtId="0" fontId="4" fillId="0" borderId="0" xfId="0" applyFont="1" applyBorder="1" applyAlignment="1">
      <alignment horizontal="centerContinuous"/>
    </xf>
    <xf numFmtId="3" fontId="6" fillId="0" borderId="0" xfId="0" applyNumberFormat="1" applyFont="1" applyBorder="1" applyAlignment="1">
      <alignment horizontal="centerContinuous"/>
    </xf>
    <xf numFmtId="3" fontId="5" fillId="0" borderId="0" xfId="0" applyNumberFormat="1" applyFont="1" applyBorder="1" applyAlignment="1">
      <alignment horizontal="center"/>
    </xf>
    <xf numFmtId="0" fontId="4" fillId="0" borderId="5" xfId="0" applyFont="1" applyBorder="1" applyAlignment="1">
      <alignment horizontal="centerContinuous"/>
    </xf>
    <xf numFmtId="0" fontId="5" fillId="0" borderId="4" xfId="0" applyFont="1" applyBorder="1" applyAlignment="1">
      <alignment horizontal="centerContinuous"/>
    </xf>
    <xf numFmtId="0" fontId="4" fillId="0" borderId="0" xfId="0" applyFont="1" applyBorder="1"/>
    <xf numFmtId="3" fontId="4" fillId="0" borderId="0" xfId="0" applyNumberFormat="1" applyFont="1" applyBorder="1"/>
    <xf numFmtId="0" fontId="4" fillId="0" borderId="4" xfId="0" applyFont="1" applyBorder="1" applyAlignment="1"/>
    <xf numFmtId="0" fontId="4" fillId="0" borderId="0" xfId="0" applyFont="1" applyBorder="1" applyAlignment="1"/>
    <xf numFmtId="0" fontId="4" fillId="0" borderId="5" xfId="0" applyFont="1" applyBorder="1"/>
    <xf numFmtId="0" fontId="5" fillId="0" borderId="4" xfId="0" applyFont="1" applyBorder="1" applyAlignment="1"/>
    <xf numFmtId="0" fontId="6" fillId="0" borderId="0" xfId="0" applyFont="1" applyBorder="1" applyAlignment="1"/>
    <xf numFmtId="0" fontId="5" fillId="0" borderId="4" xfId="0" applyFont="1" applyBorder="1"/>
    <xf numFmtId="0" fontId="6" fillId="0" borderId="6" xfId="0" applyFont="1" applyBorder="1"/>
    <xf numFmtId="0" fontId="4" fillId="0" borderId="6" xfId="0" applyFont="1" applyBorder="1"/>
    <xf numFmtId="14" fontId="4" fillId="0" borderId="6" xfId="0" applyNumberFormat="1" applyFont="1" applyBorder="1"/>
    <xf numFmtId="0" fontId="6" fillId="0" borderId="0" xfId="0" applyFont="1" applyBorder="1"/>
    <xf numFmtId="0" fontId="5" fillId="0" borderId="0" xfId="0" applyFont="1" applyBorder="1"/>
    <xf numFmtId="1" fontId="5" fillId="0" borderId="0" xfId="0" applyNumberFormat="1" applyFont="1" applyBorder="1"/>
    <xf numFmtId="3" fontId="4" fillId="0" borderId="5" xfId="0" applyNumberFormat="1" applyFont="1" applyBorder="1" applyAlignment="1">
      <alignment horizontal="center"/>
    </xf>
    <xf numFmtId="3" fontId="4" fillId="0" borderId="6" xfId="0" applyNumberFormat="1" applyFont="1" applyBorder="1"/>
    <xf numFmtId="0" fontId="4" fillId="0" borderId="0" xfId="0" applyFont="1" applyBorder="1" applyAlignment="1">
      <alignment horizontal="center"/>
    </xf>
    <xf numFmtId="0" fontId="5" fillId="0" borderId="0" xfId="0" applyFont="1" applyFill="1" applyBorder="1"/>
    <xf numFmtId="0" fontId="5" fillId="0" borderId="4" xfId="0" applyFont="1" applyBorder="1" applyAlignment="1">
      <alignment horizontal="right"/>
    </xf>
    <xf numFmtId="0" fontId="5" fillId="0" borderId="0" xfId="0" applyFont="1" applyBorder="1" applyAlignment="1"/>
    <xf numFmtId="3" fontId="5" fillId="0" borderId="0" xfId="0" applyNumberFormat="1" applyFont="1" applyBorder="1" applyAlignment="1"/>
    <xf numFmtId="0" fontId="4" fillId="0" borderId="0" xfId="0" applyFont="1" applyFill="1" applyBorder="1"/>
    <xf numFmtId="0" fontId="4" fillId="0" borderId="4" xfId="0" applyFont="1" applyBorder="1" applyAlignment="1">
      <alignment horizontal="right"/>
    </xf>
    <xf numFmtId="5" fontId="4" fillId="0" borderId="0" xfId="0" applyNumberFormat="1" applyFont="1" applyBorder="1" applyAlignment="1">
      <alignment horizontal="right"/>
    </xf>
    <xf numFmtId="3" fontId="4" fillId="0" borderId="6" xfId="0" applyNumberFormat="1" applyFont="1" applyBorder="1" applyAlignment="1"/>
    <xf numFmtId="3" fontId="4" fillId="0" borderId="0" xfId="0" applyNumberFormat="1" applyFont="1" applyBorder="1" applyAlignment="1"/>
    <xf numFmtId="3" fontId="4" fillId="0" borderId="0" xfId="0" applyNumberFormat="1" applyFont="1" applyBorder="1" applyAlignment="1">
      <alignment horizontal="right"/>
    </xf>
    <xf numFmtId="0" fontId="4" fillId="0" borderId="0" xfId="0" applyFont="1" applyBorder="1" applyAlignment="1">
      <alignment horizontal="right"/>
    </xf>
    <xf numFmtId="0" fontId="4" fillId="2" borderId="0" xfId="0" applyFont="1" applyFill="1" applyBorder="1"/>
    <xf numFmtId="5" fontId="5" fillId="0" borderId="0" xfId="0" applyNumberFormat="1" applyFont="1" applyBorder="1" applyAlignment="1">
      <alignment horizontal="right"/>
    </xf>
    <xf numFmtId="3" fontId="5" fillId="0" borderId="6" xfId="0" applyNumberFormat="1" applyFont="1" applyBorder="1" applyAlignment="1"/>
    <xf numFmtId="3" fontId="5" fillId="0" borderId="0" xfId="0" applyNumberFormat="1" applyFont="1" applyBorder="1" applyAlignment="1">
      <alignment horizontal="right"/>
    </xf>
    <xf numFmtId="0" fontId="5" fillId="2" borderId="0" xfId="0" applyFont="1" applyFill="1" applyBorder="1"/>
    <xf numFmtId="0" fontId="4" fillId="0" borderId="0" xfId="0" applyFont="1" applyFill="1" applyBorder="1" applyAlignment="1"/>
    <xf numFmtId="0" fontId="4" fillId="0" borderId="4" xfId="0" applyFont="1" applyFill="1" applyBorder="1"/>
    <xf numFmtId="0" fontId="4" fillId="3" borderId="7" xfId="0" applyFont="1" applyFill="1" applyBorder="1"/>
    <xf numFmtId="0" fontId="4" fillId="3" borderId="8" xfId="0" applyFont="1" applyFill="1" applyBorder="1"/>
    <xf numFmtId="0" fontId="5" fillId="0" borderId="0" xfId="0" applyFont="1" applyBorder="1" applyAlignment="1">
      <alignment horizontal="right"/>
    </xf>
    <xf numFmtId="9" fontId="4" fillId="0" borderId="0" xfId="0" applyNumberFormat="1" applyFont="1" applyBorder="1" applyAlignment="1">
      <alignment horizontal="center"/>
    </xf>
    <xf numFmtId="10" fontId="4" fillId="0" borderId="5" xfId="0" applyNumberFormat="1" applyFont="1" applyBorder="1"/>
    <xf numFmtId="0" fontId="5" fillId="0" borderId="0" xfId="0" applyFont="1" applyFill="1" applyBorder="1" applyAlignment="1"/>
    <xf numFmtId="0" fontId="4" fillId="0" borderId="9" xfId="0" applyFont="1" applyBorder="1"/>
    <xf numFmtId="3" fontId="4" fillId="0" borderId="5" xfId="0" applyNumberFormat="1" applyFont="1" applyBorder="1"/>
    <xf numFmtId="3" fontId="4" fillId="0" borderId="0" xfId="1" applyNumberFormat="1" applyFont="1" applyBorder="1"/>
    <xf numFmtId="0" fontId="5" fillId="0" borderId="0" xfId="0" applyFont="1" applyBorder="1" applyAlignment="1">
      <alignment horizontal="left"/>
    </xf>
    <xf numFmtId="3" fontId="4" fillId="0" borderId="0" xfId="0" applyNumberFormat="1" applyFont="1" applyFill="1" applyBorder="1"/>
    <xf numFmtId="3" fontId="4" fillId="0" borderId="0" xfId="0" applyNumberFormat="1" applyFont="1"/>
    <xf numFmtId="3" fontId="5" fillId="0" borderId="0" xfId="0" applyNumberFormat="1" applyFont="1" applyFill="1" applyBorder="1" applyAlignment="1">
      <alignment horizontal="right"/>
    </xf>
    <xf numFmtId="10" fontId="4" fillId="0" borderId="0" xfId="0" applyNumberFormat="1" applyFont="1" applyBorder="1" applyAlignment="1"/>
    <xf numFmtId="0" fontId="4" fillId="0" borderId="5" xfId="0" applyFont="1" applyBorder="1" applyAlignment="1"/>
    <xf numFmtId="0" fontId="4" fillId="0" borderId="0" xfId="0" applyFont="1" applyFill="1" applyBorder="1" applyAlignment="1">
      <alignment horizontal="center"/>
    </xf>
    <xf numFmtId="0" fontId="4" fillId="0" borderId="5" xfId="0" applyFont="1" applyFill="1" applyBorder="1"/>
    <xf numFmtId="3" fontId="4" fillId="0" borderId="5" xfId="0" applyNumberFormat="1" applyFont="1" applyFill="1" applyBorder="1" applyAlignment="1">
      <alignment horizontal="center"/>
    </xf>
    <xf numFmtId="0" fontId="4" fillId="0" borderId="5" xfId="0" applyFont="1" applyFill="1" applyBorder="1" applyAlignment="1">
      <alignment horizontal="center"/>
    </xf>
    <xf numFmtId="0" fontId="4" fillId="0" borderId="0" xfId="0" applyFont="1" applyFill="1" applyBorder="1" applyAlignment="1">
      <alignment horizontal="right"/>
    </xf>
    <xf numFmtId="3" fontId="4" fillId="0" borderId="0" xfId="0" applyNumberFormat="1" applyFont="1" applyFill="1" applyBorder="1" applyAlignment="1">
      <alignment horizontal="right"/>
    </xf>
    <xf numFmtId="7" fontId="4" fillId="0" borderId="0" xfId="0" applyNumberFormat="1" applyFont="1" applyBorder="1" applyAlignment="1"/>
    <xf numFmtId="0" fontId="4" fillId="0" borderId="10" xfId="0" applyFont="1" applyBorder="1"/>
    <xf numFmtId="0" fontId="5" fillId="0" borderId="0" xfId="0" applyFont="1"/>
    <xf numFmtId="167" fontId="4" fillId="0" borderId="0" xfId="7" applyNumberFormat="1" applyFont="1"/>
    <xf numFmtId="3" fontId="4" fillId="0" borderId="0" xfId="0" applyNumberFormat="1" applyFont="1" applyBorder="1" applyAlignment="1">
      <alignment horizontal="center"/>
    </xf>
    <xf numFmtId="6" fontId="4" fillId="0" borderId="11" xfId="3" applyNumberFormat="1" applyFont="1" applyBorder="1"/>
    <xf numFmtId="6" fontId="4" fillId="0" borderId="12" xfId="3" applyNumberFormat="1" applyFont="1" applyBorder="1"/>
    <xf numFmtId="0" fontId="4" fillId="0" borderId="0" xfId="0" applyFont="1" applyAlignment="1">
      <alignment horizontal="right"/>
    </xf>
    <xf numFmtId="0" fontId="8" fillId="0" borderId="0" xfId="0" applyFont="1" applyBorder="1" applyAlignment="1">
      <alignment horizontal="center"/>
    </xf>
    <xf numFmtId="0" fontId="5" fillId="0" borderId="6" xfId="0" applyFont="1" applyBorder="1"/>
    <xf numFmtId="0" fontId="5" fillId="0" borderId="0" xfId="0" applyFont="1" applyFill="1" applyBorder="1" applyAlignment="1">
      <alignment horizontal="right"/>
    </xf>
    <xf numFmtId="0" fontId="4" fillId="0" borderId="13" xfId="0" applyFont="1" applyBorder="1" applyAlignment="1"/>
    <xf numFmtId="0" fontId="4" fillId="3" borderId="7" xfId="0" applyFont="1" applyFill="1" applyBorder="1" applyAlignment="1">
      <alignment horizontal="right"/>
    </xf>
    <xf numFmtId="3" fontId="5" fillId="3" borderId="7" xfId="0" applyNumberFormat="1" applyFont="1" applyFill="1" applyBorder="1" applyAlignment="1">
      <alignment horizontal="right"/>
    </xf>
    <xf numFmtId="3" fontId="4" fillId="3" borderId="7" xfId="0" applyNumberFormat="1" applyFont="1" applyFill="1" applyBorder="1"/>
    <xf numFmtId="3" fontId="4" fillId="3" borderId="8" xfId="0" applyNumberFormat="1" applyFont="1" applyFill="1" applyBorder="1"/>
    <xf numFmtId="0" fontId="6" fillId="3" borderId="14" xfId="0" applyFont="1" applyFill="1" applyBorder="1"/>
    <xf numFmtId="0" fontId="5" fillId="3" borderId="7" xfId="0" applyFont="1" applyFill="1" applyBorder="1" applyAlignment="1">
      <alignment horizontal="center"/>
    </xf>
    <xf numFmtId="3" fontId="4" fillId="4" borderId="0" xfId="0" applyNumberFormat="1" applyFont="1" applyFill="1" applyBorder="1"/>
    <xf numFmtId="0" fontId="5" fillId="3" borderId="7" xfId="0" applyFont="1" applyFill="1" applyBorder="1" applyAlignment="1">
      <alignment horizontal="right"/>
    </xf>
    <xf numFmtId="3" fontId="4" fillId="0" borderId="0" xfId="1" applyNumberFormat="1" applyFont="1" applyBorder="1" applyAlignment="1">
      <alignment horizontal="right"/>
    </xf>
    <xf numFmtId="0" fontId="4" fillId="0" borderId="0" xfId="0" applyFont="1" applyBorder="1" applyAlignment="1">
      <alignment horizontal="left"/>
    </xf>
    <xf numFmtId="0" fontId="9" fillId="0" borderId="0" xfId="0" applyFont="1" applyBorder="1" applyAlignment="1"/>
    <xf numFmtId="0" fontId="5" fillId="0" borderId="4" xfId="0" quotePrefix="1" applyFont="1" applyBorder="1" applyAlignment="1">
      <alignment horizontal="right"/>
    </xf>
    <xf numFmtId="3" fontId="9" fillId="0" borderId="0" xfId="0" applyNumberFormat="1" applyFont="1" applyBorder="1"/>
    <xf numFmtId="3" fontId="10" fillId="0" borderId="0" xfId="0" applyNumberFormat="1" applyFont="1" applyBorder="1" applyAlignment="1">
      <alignment horizontal="center"/>
    </xf>
    <xf numFmtId="0" fontId="6" fillId="0" borderId="1" xfId="0" applyFont="1" applyBorder="1" applyAlignment="1">
      <alignment horizontal="centerContinuous"/>
    </xf>
    <xf numFmtId="3" fontId="6" fillId="0" borderId="1" xfId="0" applyNumberFormat="1" applyFont="1" applyBorder="1" applyAlignment="1">
      <alignment horizontal="centerContinuous"/>
    </xf>
    <xf numFmtId="0" fontId="4" fillId="0" borderId="13" xfId="0" applyFont="1" applyBorder="1"/>
    <xf numFmtId="3" fontId="4" fillId="0" borderId="11" xfId="0" applyNumberFormat="1" applyFont="1" applyBorder="1" applyAlignment="1">
      <alignment horizontal="center"/>
    </xf>
    <xf numFmtId="10" fontId="4" fillId="0" borderId="12" xfId="7" applyNumberFormat="1" applyFont="1" applyBorder="1"/>
    <xf numFmtId="0" fontId="5" fillId="0" borderId="0" xfId="0" applyFont="1" applyBorder="1" applyAlignment="1">
      <alignment horizontal="centerContinuous"/>
    </xf>
    <xf numFmtId="6" fontId="5" fillId="0" borderId="0" xfId="0" applyNumberFormat="1" applyFont="1" applyBorder="1" applyAlignment="1">
      <alignment horizontal="left"/>
    </xf>
    <xf numFmtId="0" fontId="5" fillId="0" borderId="0" xfId="0" applyFont="1" applyFill="1" applyBorder="1" applyAlignment="1">
      <alignment horizontal="center"/>
    </xf>
    <xf numFmtId="5" fontId="4" fillId="0" borderId="0" xfId="0" applyNumberFormat="1" applyFont="1" applyFill="1" applyBorder="1" applyAlignment="1">
      <alignment horizontal="right"/>
    </xf>
    <xf numFmtId="0" fontId="7" fillId="0" borderId="0" xfId="0" applyFont="1" applyBorder="1"/>
    <xf numFmtId="0" fontId="0" fillId="0" borderId="0" xfId="0" applyFont="1"/>
    <xf numFmtId="0" fontId="0" fillId="0" borderId="0" xfId="0" applyFont="1" applyFill="1"/>
    <xf numFmtId="0" fontId="2" fillId="0" borderId="0" xfId="0" applyFont="1"/>
    <xf numFmtId="0" fontId="2" fillId="0" borderId="0" xfId="0" applyFont="1" applyFill="1"/>
    <xf numFmtId="0" fontId="0" fillId="0" borderId="0" xfId="0" applyFill="1"/>
    <xf numFmtId="0" fontId="14" fillId="0" borderId="0" xfId="0" applyFont="1"/>
    <xf numFmtId="3" fontId="4" fillId="0" borderId="0" xfId="0" applyNumberFormat="1" applyFont="1" applyFill="1"/>
    <xf numFmtId="0" fontId="5" fillId="0" borderId="0" xfId="0" applyNumberFormat="1" applyFont="1" applyFill="1" applyBorder="1" applyAlignment="1"/>
    <xf numFmtId="6" fontId="4" fillId="0" borderId="11" xfId="3" applyNumberFormat="1" applyFont="1" applyBorder="1" applyAlignment="1"/>
    <xf numFmtId="0" fontId="5" fillId="0" borderId="4" xfId="0" quotePrefix="1" applyFont="1" applyBorder="1" applyAlignment="1">
      <alignment horizontal="center"/>
    </xf>
    <xf numFmtId="0" fontId="18" fillId="0" borderId="0" xfId="0" applyFont="1"/>
    <xf numFmtId="0" fontId="4" fillId="0" borderId="6" xfId="0" applyFont="1" applyFill="1" applyBorder="1"/>
    <xf numFmtId="169" fontId="4" fillId="0" borderId="0" xfId="0" applyNumberFormat="1" applyFont="1" applyFill="1" applyBorder="1"/>
    <xf numFmtId="49" fontId="4" fillId="0" borderId="0" xfId="0" applyNumberFormat="1" applyFont="1" applyBorder="1" applyAlignment="1">
      <alignment horizontal="center"/>
    </xf>
    <xf numFmtId="0" fontId="4" fillId="0" borderId="0" xfId="0" quotePrefix="1" applyFont="1" applyBorder="1"/>
    <xf numFmtId="9" fontId="4" fillId="0" borderId="0" xfId="7" applyFont="1" applyFill="1" applyBorder="1"/>
    <xf numFmtId="17" fontId="4" fillId="0" borderId="13" xfId="0" applyNumberFormat="1" applyFont="1" applyBorder="1" applyAlignment="1">
      <alignment horizontal="right"/>
    </xf>
    <xf numFmtId="3" fontId="5" fillId="0" borderId="0" xfId="0" applyNumberFormat="1" applyFont="1" applyFill="1" applyBorder="1"/>
    <xf numFmtId="164" fontId="4" fillId="0" borderId="0" xfId="0" applyNumberFormat="1" applyFont="1" applyFill="1" applyBorder="1" applyAlignment="1">
      <alignment horizontal="left"/>
    </xf>
    <xf numFmtId="0" fontId="14" fillId="0" borderId="0" xfId="0" applyFont="1" applyFill="1"/>
    <xf numFmtId="3" fontId="4" fillId="0" borderId="0" xfId="0" applyNumberFormat="1" applyFont="1" applyFill="1" applyBorder="1" applyAlignment="1"/>
    <xf numFmtId="0" fontId="37" fillId="4" borderId="0" xfId="5" applyFont="1" applyFill="1" applyAlignment="1" applyProtection="1"/>
    <xf numFmtId="0" fontId="38" fillId="4" borderId="0" xfId="5" applyFont="1" applyFill="1" applyAlignment="1" applyProtection="1">
      <alignment horizontal="left"/>
    </xf>
    <xf numFmtId="0" fontId="38" fillId="4" borderId="0" xfId="5" applyFont="1" applyFill="1" applyAlignment="1" applyProtection="1"/>
    <xf numFmtId="0" fontId="14" fillId="0" borderId="0" xfId="0" applyFont="1" applyAlignment="1">
      <alignment horizontal="center"/>
    </xf>
    <xf numFmtId="0" fontId="14" fillId="0" borderId="5" xfId="0" applyFont="1" applyBorder="1"/>
    <xf numFmtId="0" fontId="14" fillId="0" borderId="4" xfId="0" applyFont="1" applyBorder="1"/>
    <xf numFmtId="0" fontId="14" fillId="0" borderId="0" xfId="0" applyFont="1" applyBorder="1"/>
    <xf numFmtId="0" fontId="14" fillId="0" borderId="10" xfId="0" applyFont="1" applyBorder="1"/>
    <xf numFmtId="3" fontId="4" fillId="0" borderId="0" xfId="0" applyNumberFormat="1" applyFont="1" applyBorder="1" applyAlignment="1">
      <alignment horizontal="left"/>
    </xf>
    <xf numFmtId="0" fontId="4" fillId="0" borderId="4" xfId="0" applyFont="1" applyBorder="1" applyAlignment="1">
      <alignment horizontal="left"/>
    </xf>
    <xf numFmtId="0" fontId="14" fillId="0" borderId="6" xfId="0" applyFont="1" applyBorder="1"/>
    <xf numFmtId="0" fontId="13" fillId="0" borderId="0" xfId="0" applyFont="1" applyBorder="1" applyAlignment="1">
      <alignment horizontal="left"/>
    </xf>
    <xf numFmtId="4" fontId="4" fillId="0" borderId="0" xfId="0" applyNumberFormat="1" applyFont="1" applyBorder="1"/>
    <xf numFmtId="4" fontId="5" fillId="0" borderId="0" xfId="0" applyNumberFormat="1" applyFont="1" applyBorder="1"/>
    <xf numFmtId="9" fontId="5" fillId="0" borderId="0" xfId="0" applyNumberFormat="1" applyFont="1" applyFill="1" applyBorder="1"/>
    <xf numFmtId="0" fontId="8" fillId="0" borderId="4" xfId="0" applyFont="1" applyBorder="1" applyAlignment="1">
      <alignment horizontal="center"/>
    </xf>
    <xf numFmtId="3" fontId="4" fillId="0" borderId="4" xfId="0" applyNumberFormat="1" applyFont="1" applyBorder="1"/>
    <xf numFmtId="1" fontId="4" fillId="0" borderId="0" xfId="0" applyNumberFormat="1" applyFont="1" applyBorder="1" applyAlignment="1">
      <alignment horizontal="right"/>
    </xf>
    <xf numFmtId="10" fontId="4" fillId="0" borderId="0" xfId="7" applyNumberFormat="1" applyFont="1" applyBorder="1" applyAlignment="1">
      <alignment horizontal="right"/>
    </xf>
    <xf numFmtId="171" fontId="4" fillId="0" borderId="0" xfId="0" applyNumberFormat="1" applyFont="1" applyBorder="1" applyAlignment="1">
      <alignment horizontal="right"/>
    </xf>
    <xf numFmtId="167" fontId="5" fillId="0" borderId="6" xfId="7" applyNumberFormat="1" applyFont="1" applyBorder="1" applyAlignment="1">
      <alignment horizontal="center"/>
    </xf>
    <xf numFmtId="175" fontId="4" fillId="0" borderId="0" xfId="0" applyNumberFormat="1" applyFont="1" applyBorder="1"/>
    <xf numFmtId="0" fontId="5" fillId="0" borderId="10" xfId="0" applyFont="1" applyBorder="1" applyAlignment="1">
      <alignment horizontal="center"/>
    </xf>
    <xf numFmtId="1" fontId="4" fillId="0" borderId="0" xfId="0" applyNumberFormat="1" applyFont="1" applyBorder="1" applyAlignment="1">
      <alignment horizontal="center"/>
    </xf>
    <xf numFmtId="175" fontId="4" fillId="0" borderId="0" xfId="7" applyNumberFormat="1" applyFont="1" applyBorder="1"/>
    <xf numFmtId="0" fontId="14" fillId="0" borderId="2" xfId="0" applyFont="1" applyBorder="1"/>
    <xf numFmtId="0" fontId="14" fillId="0" borderId="9" xfId="0" applyFont="1" applyBorder="1"/>
    <xf numFmtId="0" fontId="14" fillId="0" borderId="1" xfId="0" applyFont="1" applyBorder="1"/>
    <xf numFmtId="0" fontId="14" fillId="0" borderId="3" xfId="0" applyFont="1" applyBorder="1"/>
    <xf numFmtId="0" fontId="5" fillId="0" borderId="0" xfId="0" applyFont="1" applyFill="1" applyBorder="1" applyProtection="1"/>
    <xf numFmtId="0" fontId="14" fillId="0" borderId="0" xfId="0" applyFont="1" applyFill="1" applyBorder="1"/>
    <xf numFmtId="3" fontId="72" fillId="0" borderId="0" xfId="0" applyNumberFormat="1" applyFont="1" applyBorder="1"/>
    <xf numFmtId="3" fontId="5" fillId="0" borderId="1" xfId="0" applyNumberFormat="1" applyFont="1" applyBorder="1"/>
    <xf numFmtId="0" fontId="72" fillId="0" borderId="0" xfId="0" applyFont="1" applyBorder="1"/>
    <xf numFmtId="0" fontId="4" fillId="2" borderId="1" xfId="0" applyFont="1" applyFill="1" applyBorder="1"/>
    <xf numFmtId="0" fontId="22" fillId="0" borderId="0" xfId="0" applyFont="1"/>
    <xf numFmtId="0" fontId="5" fillId="0" borderId="9" xfId="0" applyFont="1" applyBorder="1" applyAlignment="1">
      <alignment horizontal="center"/>
    </xf>
    <xf numFmtId="10" fontId="4" fillId="0" borderId="9" xfId="7" applyNumberFormat="1" applyFont="1" applyBorder="1" applyAlignment="1">
      <alignment horizontal="center"/>
    </xf>
    <xf numFmtId="6" fontId="14" fillId="0" borderId="5" xfId="3" applyNumberFormat="1" applyFont="1" applyBorder="1"/>
    <xf numFmtId="6" fontId="14" fillId="0" borderId="9" xfId="3" applyNumberFormat="1" applyFont="1" applyBorder="1"/>
    <xf numFmtId="0" fontId="22" fillId="0" borderId="0" xfId="0" applyFont="1" applyFill="1" applyBorder="1" applyAlignment="1">
      <alignment horizontal="center"/>
    </xf>
    <xf numFmtId="0" fontId="22" fillId="0" borderId="5" xfId="0" applyFont="1" applyFill="1" applyBorder="1" applyAlignment="1">
      <alignment horizontal="center"/>
    </xf>
    <xf numFmtId="0" fontId="14" fillId="0" borderId="4" xfId="0" applyFont="1" applyFill="1" applyBorder="1" applyAlignment="1">
      <alignment horizontal="left"/>
    </xf>
    <xf numFmtId="3" fontId="5" fillId="0" borderId="13" xfId="0" applyNumberFormat="1" applyFont="1" applyBorder="1" applyAlignment="1"/>
    <xf numFmtId="0" fontId="6" fillId="0" borderId="0" xfId="0" applyFont="1" applyFill="1" applyBorder="1" applyAlignment="1">
      <alignment horizontal="center"/>
    </xf>
    <xf numFmtId="0" fontId="6" fillId="0" borderId="0" xfId="0" applyFont="1" applyFill="1" applyBorder="1"/>
    <xf numFmtId="168" fontId="4" fillId="0" borderId="5" xfId="0" applyNumberFormat="1" applyFont="1" applyBorder="1" applyAlignment="1"/>
    <xf numFmtId="0" fontId="5" fillId="0" borderId="4" xfId="0" quotePrefix="1" applyFont="1" applyFill="1" applyBorder="1" applyAlignment="1">
      <alignment horizontal="right"/>
    </xf>
    <xf numFmtId="17" fontId="73" fillId="5" borderId="0" xfId="0" applyNumberFormat="1" applyFont="1" applyFill="1" applyBorder="1" applyAlignment="1">
      <alignment horizontal="right"/>
    </xf>
    <xf numFmtId="0" fontId="74" fillId="0" borderId="0" xfId="0" applyFont="1" applyBorder="1" applyAlignment="1">
      <alignment horizontal="center"/>
    </xf>
    <xf numFmtId="0" fontId="72" fillId="0" borderId="0" xfId="0" applyFont="1" applyBorder="1" applyAlignment="1">
      <alignment horizontal="left"/>
    </xf>
    <xf numFmtId="0" fontId="4" fillId="6" borderId="7" xfId="0" applyFont="1" applyFill="1" applyBorder="1"/>
    <xf numFmtId="0" fontId="5" fillId="6" borderId="7" xfId="0" applyFont="1" applyFill="1" applyBorder="1" applyAlignment="1">
      <alignment horizontal="right"/>
    </xf>
    <xf numFmtId="0" fontId="6" fillId="7" borderId="15" xfId="0" applyFont="1" applyFill="1" applyBorder="1" applyProtection="1"/>
    <xf numFmtId="14" fontId="9" fillId="0" borderId="0" xfId="0" applyNumberFormat="1" applyFont="1" applyBorder="1" applyAlignment="1">
      <alignment horizontal="center"/>
    </xf>
    <xf numFmtId="3" fontId="4" fillId="0" borderId="6" xfId="0" applyNumberFormat="1" applyFont="1" applyFill="1" applyBorder="1" applyAlignment="1">
      <alignment horizontal="right"/>
    </xf>
    <xf numFmtId="0" fontId="4" fillId="0" borderId="6" xfId="0" applyFont="1" applyFill="1" applyBorder="1" applyAlignment="1">
      <alignment horizontal="right"/>
    </xf>
    <xf numFmtId="3" fontId="4" fillId="0" borderId="6" xfId="0" applyNumberFormat="1" applyFont="1" applyFill="1" applyBorder="1"/>
    <xf numFmtId="3" fontId="5" fillId="0" borderId="0" xfId="0" applyNumberFormat="1" applyFont="1" applyBorder="1"/>
    <xf numFmtId="3" fontId="5" fillId="0" borderId="6" xfId="0" applyNumberFormat="1" applyFont="1" applyFill="1" applyBorder="1"/>
    <xf numFmtId="3" fontId="5" fillId="6" borderId="6" xfId="0" applyNumberFormat="1" applyFont="1" applyFill="1" applyBorder="1"/>
    <xf numFmtId="172" fontId="5" fillId="6" borderId="6" xfId="0" applyNumberFormat="1" applyFont="1" applyFill="1" applyBorder="1" applyAlignment="1">
      <alignment horizontal="center"/>
    </xf>
    <xf numFmtId="167" fontId="4" fillId="0" borderId="0" xfId="7" applyNumberFormat="1" applyFont="1" applyBorder="1" applyAlignment="1">
      <alignment horizontal="center"/>
    </xf>
    <xf numFmtId="0" fontId="14" fillId="0" borderId="0" xfId="0" applyFont="1" applyFill="1" applyBorder="1" applyAlignment="1">
      <alignment horizontal="left"/>
    </xf>
    <xf numFmtId="0" fontId="75" fillId="0" borderId="0" xfId="0" applyFont="1" applyAlignment="1">
      <alignment horizontal="center"/>
    </xf>
    <xf numFmtId="0" fontId="14" fillId="6" borderId="10" xfId="0" applyFont="1" applyFill="1" applyBorder="1"/>
    <xf numFmtId="0" fontId="5" fillId="6" borderId="7" xfId="0" applyFont="1" applyFill="1" applyBorder="1" applyAlignment="1"/>
    <xf numFmtId="0" fontId="5" fillId="6" borderId="7" xfId="0" applyFont="1" applyFill="1" applyBorder="1"/>
    <xf numFmtId="0" fontId="4" fillId="6" borderId="0" xfId="0" applyFont="1" applyFill="1" applyBorder="1"/>
    <xf numFmtId="0" fontId="4" fillId="6" borderId="0" xfId="0" applyFont="1" applyFill="1" applyBorder="1" applyAlignment="1"/>
    <xf numFmtId="0" fontId="4" fillId="6" borderId="8" xfId="0" applyFont="1" applyFill="1" applyBorder="1"/>
    <xf numFmtId="0" fontId="6" fillId="6" borderId="14" xfId="0" applyFont="1" applyFill="1" applyBorder="1" applyAlignment="1">
      <alignment horizontal="left"/>
    </xf>
    <xf numFmtId="0" fontId="5" fillId="6" borderId="17" xfId="0" applyFont="1" applyFill="1" applyBorder="1"/>
    <xf numFmtId="0" fontId="4" fillId="6" borderId="4" xfId="0" applyFont="1" applyFill="1" applyBorder="1" applyAlignment="1"/>
    <xf numFmtId="0" fontId="4" fillId="6" borderId="4" xfId="0" applyFont="1" applyFill="1" applyBorder="1"/>
    <xf numFmtId="0" fontId="6" fillId="0" borderId="4" xfId="0" applyFont="1" applyBorder="1"/>
    <xf numFmtId="3" fontId="4" fillId="0" borderId="0" xfId="1" applyNumberFormat="1" applyFont="1" applyFill="1" applyBorder="1"/>
    <xf numFmtId="0" fontId="6" fillId="0" borderId="4" xfId="0" applyFont="1" applyFill="1" applyBorder="1" applyProtection="1"/>
    <xf numFmtId="3" fontId="4" fillId="0" borderId="5" xfId="0" applyNumberFormat="1" applyFont="1" applyFill="1" applyBorder="1" applyProtection="1"/>
    <xf numFmtId="176" fontId="14" fillId="0" borderId="0" xfId="7" applyNumberFormat="1" applyFont="1" applyFill="1" applyBorder="1"/>
    <xf numFmtId="176" fontId="14" fillId="0" borderId="0" xfId="7" applyNumberFormat="1" applyFont="1" applyFill="1" applyBorder="1" applyAlignment="1"/>
    <xf numFmtId="0" fontId="14" fillId="0" borderId="4" xfId="0" applyFont="1" applyFill="1" applyBorder="1"/>
    <xf numFmtId="0" fontId="15" fillId="7" borderId="18" xfId="0" applyFont="1" applyFill="1" applyBorder="1"/>
    <xf numFmtId="176" fontId="15" fillId="7" borderId="13" xfId="0" applyNumberFormat="1" applyFont="1" applyFill="1" applyBorder="1"/>
    <xf numFmtId="169" fontId="4" fillId="0" borderId="6" xfId="0" applyNumberFormat="1" applyFont="1" applyFill="1" applyBorder="1"/>
    <xf numFmtId="169" fontId="5" fillId="0" borderId="0" xfId="0" applyNumberFormat="1" applyFont="1" applyFill="1" applyBorder="1"/>
    <xf numFmtId="0" fontId="15" fillId="7" borderId="19" xfId="0" applyFont="1" applyFill="1" applyBorder="1"/>
    <xf numFmtId="176" fontId="15" fillId="7" borderId="20" xfId="7" applyNumberFormat="1" applyFont="1" applyFill="1" applyBorder="1" applyAlignment="1"/>
    <xf numFmtId="0" fontId="9" fillId="6" borderId="21" xfId="0" applyFont="1" applyFill="1" applyBorder="1"/>
    <xf numFmtId="0" fontId="10" fillId="6" borderId="16" xfId="0" applyFont="1" applyFill="1" applyBorder="1" applyAlignment="1">
      <alignment horizontal="center"/>
    </xf>
    <xf numFmtId="0" fontId="75" fillId="0" borderId="0" xfId="0" applyFont="1"/>
    <xf numFmtId="167" fontId="4" fillId="0" borderId="4" xfId="7" applyNumberFormat="1" applyFont="1" applyBorder="1"/>
    <xf numFmtId="176" fontId="9" fillId="0" borderId="0" xfId="7" applyNumberFormat="1" applyFont="1" applyFill="1" applyBorder="1" applyAlignment="1"/>
    <xf numFmtId="0" fontId="4" fillId="6" borderId="0" xfId="0" applyFont="1" applyFill="1"/>
    <xf numFmtId="3" fontId="4" fillId="6" borderId="0" xfId="0" applyNumberFormat="1" applyFont="1" applyFill="1"/>
    <xf numFmtId="3" fontId="4" fillId="6" borderId="0" xfId="0" applyNumberFormat="1" applyFont="1" applyFill="1" applyBorder="1"/>
    <xf numFmtId="0" fontId="15" fillId="7" borderId="1" xfId="0" applyFont="1" applyFill="1" applyBorder="1" applyAlignment="1">
      <alignment horizontal="center"/>
    </xf>
    <xf numFmtId="14" fontId="4" fillId="0" borderId="5" xfId="0" applyNumberFormat="1" applyFont="1" applyBorder="1" applyAlignment="1">
      <alignment horizontal="center"/>
    </xf>
    <xf numFmtId="0" fontId="4" fillId="0" borderId="10" xfId="0" applyFont="1" applyBorder="1" applyAlignment="1">
      <alignment horizontal="center"/>
    </xf>
    <xf numFmtId="0" fontId="4" fillId="0" borderId="9" xfId="0" applyFont="1" applyBorder="1" applyAlignment="1">
      <alignment horizontal="center"/>
    </xf>
    <xf numFmtId="0" fontId="4" fillId="0" borderId="6" xfId="0" applyFont="1" applyBorder="1" applyAlignment="1">
      <alignment horizontal="right"/>
    </xf>
    <xf numFmtId="10" fontId="4" fillId="0" borderId="6" xfId="7" applyNumberFormat="1" applyFont="1" applyFill="1" applyBorder="1" applyAlignment="1">
      <alignment horizontal="right"/>
    </xf>
    <xf numFmtId="0" fontId="43" fillId="0" borderId="0" xfId="0" applyFont="1"/>
    <xf numFmtId="0" fontId="46" fillId="0" borderId="0" xfId="0" applyFont="1"/>
    <xf numFmtId="0" fontId="17" fillId="0" borderId="0" xfId="0" applyFont="1" applyAlignment="1">
      <alignment horizontal="center"/>
    </xf>
    <xf numFmtId="0" fontId="14" fillId="0" borderId="0" xfId="0" applyFont="1" applyAlignment="1">
      <alignment horizontal="right"/>
    </xf>
    <xf numFmtId="0" fontId="15" fillId="0" borderId="0" xfId="0" applyFont="1"/>
    <xf numFmtId="0" fontId="52" fillId="0" borderId="18" xfId="0" applyFont="1" applyBorder="1" applyAlignment="1">
      <alignment horizontal="center" wrapText="1"/>
    </xf>
    <xf numFmtId="0" fontId="52" fillId="0" borderId="18" xfId="0" applyFont="1" applyBorder="1" applyAlignment="1">
      <alignment horizontal="center"/>
    </xf>
    <xf numFmtId="16" fontId="52" fillId="0" borderId="18" xfId="0" applyNumberFormat="1" applyFont="1" applyBorder="1" applyAlignment="1">
      <alignment horizontal="center"/>
    </xf>
    <xf numFmtId="0" fontId="52" fillId="0" borderId="10" xfId="0" applyFont="1" applyBorder="1" applyAlignment="1">
      <alignment horizontal="center"/>
    </xf>
    <xf numFmtId="0" fontId="14" fillId="0" borderId="0" xfId="0" applyFont="1" applyBorder="1" applyAlignment="1">
      <alignment horizontal="center"/>
    </xf>
    <xf numFmtId="0" fontId="14" fillId="0" borderId="22" xfId="0" applyFont="1" applyBorder="1" applyAlignment="1">
      <alignment horizontal="center"/>
    </xf>
    <xf numFmtId="0" fontId="14" fillId="0" borderId="23" xfId="0" applyFont="1" applyBorder="1" applyAlignment="1">
      <alignment horizontal="center"/>
    </xf>
    <xf numFmtId="0" fontId="14" fillId="0" borderId="24" xfId="0" applyFont="1" applyBorder="1" applyAlignment="1">
      <alignment horizontal="center"/>
    </xf>
    <xf numFmtId="9" fontId="14" fillId="0" borderId="0" xfId="0" applyNumberFormat="1" applyFont="1"/>
    <xf numFmtId="16" fontId="14" fillId="0" borderId="23" xfId="0" applyNumberFormat="1" applyFont="1" applyBorder="1" applyAlignment="1">
      <alignment horizontal="center"/>
    </xf>
    <xf numFmtId="0" fontId="14" fillId="0" borderId="25" xfId="0" applyFont="1" applyBorder="1" applyAlignment="1">
      <alignment horizontal="center"/>
    </xf>
    <xf numFmtId="0" fontId="51" fillId="8" borderId="26" xfId="0" applyFont="1" applyFill="1" applyBorder="1" applyAlignment="1">
      <alignment horizontal="center"/>
    </xf>
    <xf numFmtId="0" fontId="51" fillId="9" borderId="26" xfId="0" applyFont="1" applyFill="1" applyBorder="1" applyAlignment="1">
      <alignment horizontal="center"/>
    </xf>
    <xf numFmtId="0" fontId="51" fillId="9" borderId="23" xfId="0" applyFont="1" applyFill="1" applyBorder="1" applyAlignment="1">
      <alignment horizontal="center"/>
    </xf>
    <xf numFmtId="0" fontId="14" fillId="10" borderId="27" xfId="0" applyFont="1" applyFill="1" applyBorder="1" applyAlignment="1">
      <alignment horizontal="center"/>
    </xf>
    <xf numFmtId="0" fontId="14" fillId="10" borderId="28" xfId="0" applyFont="1" applyFill="1" applyBorder="1" applyAlignment="1">
      <alignment horizontal="center"/>
    </xf>
    <xf numFmtId="0" fontId="14" fillId="10" borderId="29" xfId="0" applyFont="1" applyFill="1" applyBorder="1" applyAlignment="1">
      <alignment horizontal="center"/>
    </xf>
    <xf numFmtId="0" fontId="14" fillId="10" borderId="30" xfId="0" applyFont="1" applyFill="1" applyBorder="1" applyAlignment="1">
      <alignment horizontal="center"/>
    </xf>
    <xf numFmtId="0" fontId="14" fillId="10" borderId="31" xfId="0" applyFont="1" applyFill="1" applyBorder="1" applyAlignment="1">
      <alignment horizontal="center"/>
    </xf>
    <xf numFmtId="0" fontId="14" fillId="10" borderId="32" xfId="0" applyFont="1" applyFill="1" applyBorder="1" applyAlignment="1">
      <alignment horizontal="center"/>
    </xf>
    <xf numFmtId="0" fontId="14" fillId="10" borderId="33" xfId="0" applyFont="1" applyFill="1" applyBorder="1" applyAlignment="1">
      <alignment horizontal="center"/>
    </xf>
    <xf numFmtId="0" fontId="14" fillId="10" borderId="34" xfId="0" applyFont="1" applyFill="1" applyBorder="1" applyAlignment="1">
      <alignment horizontal="center"/>
    </xf>
    <xf numFmtId="0" fontId="14" fillId="10" borderId="35" xfId="0" applyFont="1" applyFill="1" applyBorder="1" applyAlignment="1">
      <alignment horizontal="center"/>
    </xf>
    <xf numFmtId="0" fontId="14" fillId="10" borderId="36" xfId="0" applyFont="1" applyFill="1" applyBorder="1" applyAlignment="1">
      <alignment horizontal="center"/>
    </xf>
    <xf numFmtId="0" fontId="14" fillId="10" borderId="37" xfId="0" applyFont="1" applyFill="1" applyBorder="1" applyAlignment="1">
      <alignment horizontal="center"/>
    </xf>
    <xf numFmtId="0" fontId="14" fillId="10" borderId="38" xfId="0" applyFont="1" applyFill="1" applyBorder="1" applyAlignment="1">
      <alignment horizontal="center"/>
    </xf>
    <xf numFmtId="0" fontId="14" fillId="10" borderId="39" xfId="0" applyFont="1" applyFill="1" applyBorder="1" applyAlignment="1">
      <alignment horizontal="center"/>
    </xf>
    <xf numFmtId="0" fontId="14" fillId="11" borderId="26" xfId="0" applyFont="1" applyFill="1" applyBorder="1" applyAlignment="1">
      <alignment horizontal="center"/>
    </xf>
    <xf numFmtId="0" fontId="14" fillId="11" borderId="23" xfId="0" applyFont="1" applyFill="1" applyBorder="1" applyAlignment="1">
      <alignment horizontal="center"/>
    </xf>
    <xf numFmtId="0" fontId="14" fillId="11" borderId="26" xfId="0" applyFont="1" applyFill="1" applyBorder="1" applyAlignment="1"/>
    <xf numFmtId="0" fontId="14" fillId="11" borderId="23" xfId="0" applyFont="1" applyFill="1" applyBorder="1" applyAlignment="1"/>
    <xf numFmtId="0" fontId="14" fillId="11" borderId="24" xfId="0" applyFont="1" applyFill="1" applyBorder="1" applyAlignment="1"/>
    <xf numFmtId="0" fontId="51" fillId="9" borderId="24" xfId="0" applyFont="1" applyFill="1" applyBorder="1" applyAlignment="1">
      <alignment horizontal="center"/>
    </xf>
    <xf numFmtId="0" fontId="51" fillId="9" borderId="40" xfId="0" applyFont="1" applyFill="1" applyBorder="1" applyAlignment="1">
      <alignment horizontal="center"/>
    </xf>
    <xf numFmtId="0" fontId="51" fillId="9" borderId="31" xfId="0" applyFont="1" applyFill="1" applyBorder="1" applyAlignment="1">
      <alignment horizontal="center"/>
    </xf>
    <xf numFmtId="0" fontId="51" fillId="9" borderId="11" xfId="0" applyFont="1" applyFill="1" applyBorder="1" applyAlignment="1">
      <alignment horizontal="center"/>
    </xf>
    <xf numFmtId="0" fontId="15" fillId="9" borderId="0" xfId="0" applyFont="1" applyFill="1" applyAlignment="1">
      <alignment horizontal="center"/>
    </xf>
    <xf numFmtId="0" fontId="77" fillId="0" borderId="40" xfId="0" applyFont="1" applyFill="1" applyBorder="1" applyAlignment="1">
      <alignment horizontal="center"/>
    </xf>
    <xf numFmtId="0" fontId="76" fillId="10" borderId="32" xfId="0" applyFont="1" applyFill="1" applyBorder="1" applyAlignment="1">
      <alignment horizontal="center"/>
    </xf>
    <xf numFmtId="0" fontId="76" fillId="10" borderId="29" xfId="0" applyFont="1" applyFill="1" applyBorder="1" applyAlignment="1">
      <alignment horizontal="center"/>
    </xf>
    <xf numFmtId="0" fontId="76" fillId="0" borderId="0" xfId="0" applyFont="1" applyAlignment="1">
      <alignment horizontal="center"/>
    </xf>
    <xf numFmtId="0" fontId="76" fillId="10" borderId="30" xfId="0" applyFont="1" applyFill="1" applyBorder="1" applyAlignment="1">
      <alignment horizontal="center"/>
    </xf>
    <xf numFmtId="0" fontId="76" fillId="10" borderId="31" xfId="0" applyFont="1" applyFill="1" applyBorder="1" applyAlignment="1">
      <alignment horizontal="center"/>
    </xf>
    <xf numFmtId="0" fontId="76" fillId="11" borderId="23" xfId="0" applyFont="1" applyFill="1" applyBorder="1" applyAlignment="1">
      <alignment horizontal="center"/>
    </xf>
    <xf numFmtId="0" fontId="76" fillId="11" borderId="24" xfId="0" applyFont="1" applyFill="1" applyBorder="1" applyAlignment="1">
      <alignment horizontal="center"/>
    </xf>
    <xf numFmtId="0" fontId="76" fillId="10" borderId="34" xfId="0" applyFont="1" applyFill="1" applyBorder="1" applyAlignment="1">
      <alignment horizontal="center"/>
    </xf>
    <xf numFmtId="0" fontId="76" fillId="10" borderId="36" xfId="0" applyFont="1" applyFill="1" applyBorder="1" applyAlignment="1">
      <alignment horizontal="center"/>
    </xf>
    <xf numFmtId="0" fontId="76" fillId="10" borderId="28" xfId="0" applyFont="1" applyFill="1" applyBorder="1" applyAlignment="1">
      <alignment horizontal="center"/>
    </xf>
    <xf numFmtId="0" fontId="52" fillId="0" borderId="10" xfId="0" applyFont="1" applyBorder="1" applyAlignment="1">
      <alignment horizontal="center" wrapText="1"/>
    </xf>
    <xf numFmtId="0" fontId="51" fillId="9" borderId="41" xfId="0" applyFont="1" applyFill="1" applyBorder="1" applyAlignment="1">
      <alignment horizontal="center"/>
    </xf>
    <xf numFmtId="0" fontId="51" fillId="9" borderId="19" xfId="0" applyFont="1" applyFill="1" applyBorder="1" applyAlignment="1">
      <alignment horizontal="center"/>
    </xf>
    <xf numFmtId="0" fontId="51" fillId="8" borderId="41" xfId="0" applyFont="1" applyFill="1" applyBorder="1" applyAlignment="1">
      <alignment horizontal="center"/>
    </xf>
    <xf numFmtId="0" fontId="51" fillId="8" borderId="16" xfId="0" applyFont="1" applyFill="1" applyBorder="1" applyAlignment="1">
      <alignment horizontal="center" wrapText="1"/>
    </xf>
    <xf numFmtId="0" fontId="51" fillId="8" borderId="24" xfId="0" applyFont="1" applyFill="1" applyBorder="1" applyAlignment="1">
      <alignment horizontal="center"/>
    </xf>
    <xf numFmtId="0" fontId="53" fillId="9" borderId="41" xfId="0" applyFont="1" applyFill="1" applyBorder="1" applyAlignment="1">
      <alignment horizontal="center"/>
    </xf>
    <xf numFmtId="0" fontId="53" fillId="9" borderId="26" xfId="0" applyFont="1" applyFill="1" applyBorder="1" applyAlignment="1">
      <alignment horizontal="center"/>
    </xf>
    <xf numFmtId="0" fontId="53" fillId="9" borderId="19" xfId="0" applyFont="1" applyFill="1" applyBorder="1" applyAlignment="1">
      <alignment horizontal="center" vertical="center"/>
    </xf>
    <xf numFmtId="0" fontId="54" fillId="9" borderId="25" xfId="0" applyFont="1" applyFill="1" applyBorder="1" applyAlignment="1">
      <alignment horizontal="left"/>
    </xf>
    <xf numFmtId="6" fontId="4" fillId="12" borderId="31" xfId="3" applyNumberFormat="1" applyFont="1" applyFill="1" applyBorder="1" applyAlignment="1"/>
    <xf numFmtId="171" fontId="4" fillId="0" borderId="6" xfId="0" applyNumberFormat="1" applyFont="1" applyBorder="1" applyAlignment="1"/>
    <xf numFmtId="3" fontId="4" fillId="0" borderId="6" xfId="1" applyNumberFormat="1" applyFont="1" applyFill="1" applyBorder="1"/>
    <xf numFmtId="5" fontId="5" fillId="0" borderId="0" xfId="0" applyNumberFormat="1" applyFont="1" applyFill="1" applyBorder="1" applyAlignment="1">
      <alignment horizontal="right"/>
    </xf>
    <xf numFmtId="3" fontId="4" fillId="0" borderId="0" xfId="1" applyNumberFormat="1" applyFont="1" applyFill="1" applyBorder="1" applyAlignment="1">
      <alignment horizontal="right"/>
    </xf>
    <xf numFmtId="3" fontId="4" fillId="0" borderId="6" xfId="0" applyNumberFormat="1" applyFont="1" applyFill="1" applyBorder="1" applyAlignment="1"/>
    <xf numFmtId="3" fontId="5" fillId="0" borderId="6" xfId="0" applyNumberFormat="1" applyFont="1" applyFill="1" applyBorder="1" applyAlignment="1"/>
    <xf numFmtId="0" fontId="0" fillId="6" borderId="0" xfId="0" applyFont="1" applyFill="1" applyBorder="1" applyAlignment="1"/>
    <xf numFmtId="169" fontId="4" fillId="6" borderId="0" xfId="0" applyNumberFormat="1" applyFont="1" applyFill="1" applyBorder="1"/>
    <xf numFmtId="169" fontId="4" fillId="6" borderId="5" xfId="0" applyNumberFormat="1" applyFont="1" applyFill="1" applyBorder="1"/>
    <xf numFmtId="169" fontId="4" fillId="6" borderId="0" xfId="0" quotePrefix="1" applyNumberFormat="1" applyFont="1" applyFill="1" applyBorder="1"/>
    <xf numFmtId="169" fontId="5" fillId="6" borderId="42" xfId="0" applyNumberFormat="1" applyFont="1" applyFill="1" applyBorder="1"/>
    <xf numFmtId="0" fontId="13" fillId="0" borderId="0" xfId="0" applyFont="1" applyBorder="1" applyAlignment="1">
      <alignment horizontal="center"/>
    </xf>
    <xf numFmtId="3" fontId="5" fillId="0" borderId="0" xfId="0" applyNumberFormat="1" applyFont="1"/>
    <xf numFmtId="3" fontId="38" fillId="0" borderId="0" xfId="0" applyNumberFormat="1" applyFont="1"/>
    <xf numFmtId="1" fontId="4" fillId="0" borderId="0" xfId="0" applyNumberFormat="1" applyFont="1" applyBorder="1" applyAlignment="1"/>
    <xf numFmtId="0" fontId="78" fillId="0" borderId="0" xfId="0" applyFont="1" applyBorder="1"/>
    <xf numFmtId="0" fontId="5" fillId="0" borderId="18" xfId="0" applyFont="1" applyFill="1" applyBorder="1"/>
    <xf numFmtId="0" fontId="14" fillId="0" borderId="0" xfId="0" applyFont="1" applyProtection="1"/>
    <xf numFmtId="0" fontId="4" fillId="0" borderId="0" xfId="0" applyFont="1" applyProtection="1"/>
    <xf numFmtId="0" fontId="4" fillId="0" borderId="0" xfId="0" applyFont="1" applyBorder="1" applyProtection="1"/>
    <xf numFmtId="0" fontId="4" fillId="0" borderId="0" xfId="0" applyFont="1" applyFill="1" applyBorder="1" applyAlignment="1" applyProtection="1">
      <alignment horizontal="right"/>
    </xf>
    <xf numFmtId="0" fontId="5" fillId="0" borderId="0" xfId="0" applyFont="1" applyFill="1" applyBorder="1" applyAlignment="1" applyProtection="1">
      <alignment horizontal="right"/>
    </xf>
    <xf numFmtId="0" fontId="4" fillId="0" borderId="0" xfId="0" applyFont="1" applyFill="1" applyBorder="1" applyProtection="1"/>
    <xf numFmtId="0" fontId="14" fillId="0" borderId="0" xfId="0" applyFont="1" applyBorder="1" applyProtection="1"/>
    <xf numFmtId="3" fontId="5" fillId="0" borderId="0" xfId="1" applyNumberFormat="1" applyFont="1" applyFill="1" applyBorder="1" applyProtection="1"/>
    <xf numFmtId="0" fontId="14" fillId="0" borderId="0" xfId="0" applyFont="1" applyFill="1" applyBorder="1" applyProtection="1"/>
    <xf numFmtId="0" fontId="14" fillId="0" borderId="0" xfId="0" applyFont="1" applyFill="1" applyProtection="1"/>
    <xf numFmtId="0" fontId="4" fillId="7" borderId="19" xfId="0" applyFont="1" applyFill="1" applyBorder="1" applyProtection="1"/>
    <xf numFmtId="0" fontId="44" fillId="7" borderId="45" xfId="0" applyFont="1" applyFill="1" applyBorder="1" applyAlignment="1" applyProtection="1">
      <alignment horizontal="center"/>
    </xf>
    <xf numFmtId="0" fontId="4" fillId="0" borderId="0" xfId="0" applyFont="1" applyFill="1" applyProtection="1"/>
    <xf numFmtId="0" fontId="4" fillId="7" borderId="4" xfId="0" applyFont="1" applyFill="1" applyBorder="1" applyProtection="1"/>
    <xf numFmtId="0" fontId="5" fillId="7" borderId="10" xfId="0" applyFont="1" applyFill="1" applyBorder="1" applyProtection="1"/>
    <xf numFmtId="0" fontId="5" fillId="0" borderId="0" xfId="0" applyFont="1" applyFill="1" applyProtection="1"/>
    <xf numFmtId="0" fontId="5" fillId="0" borderId="0" xfId="0" applyFont="1" applyProtection="1"/>
    <xf numFmtId="0" fontId="5" fillId="0" borderId="4" xfId="0" applyFont="1" applyBorder="1" applyProtection="1"/>
    <xf numFmtId="0" fontId="4" fillId="0" borderId="4" xfId="0" applyFont="1" applyFill="1" applyBorder="1" applyProtection="1"/>
    <xf numFmtId="0" fontId="14" fillId="7" borderId="0" xfId="0" applyFont="1" applyFill="1" applyProtection="1"/>
    <xf numFmtId="0" fontId="5" fillId="7" borderId="46" xfId="0" applyFont="1" applyFill="1" applyBorder="1" applyProtection="1"/>
    <xf numFmtId="0" fontId="6" fillId="14" borderId="47" xfId="0" applyFont="1" applyFill="1" applyBorder="1" applyProtection="1"/>
    <xf numFmtId="0" fontId="6" fillId="6" borderId="47" xfId="0" applyFont="1" applyFill="1" applyBorder="1" applyProtection="1"/>
    <xf numFmtId="0" fontId="14" fillId="12" borderId="0" xfId="0" applyFont="1" applyFill="1" applyProtection="1"/>
    <xf numFmtId="0" fontId="14" fillId="0" borderId="48" xfId="0" applyFont="1" applyBorder="1" applyProtection="1"/>
    <xf numFmtId="0" fontId="76" fillId="0" borderId="0" xfId="0" applyFont="1" applyFill="1" applyProtection="1"/>
    <xf numFmtId="0" fontId="72" fillId="0" borderId="0" xfId="0" applyFont="1" applyFill="1" applyBorder="1" applyProtection="1"/>
    <xf numFmtId="0" fontId="73" fillId="0" borderId="0" xfId="0" applyFont="1" applyFill="1" applyBorder="1" applyAlignment="1" applyProtection="1">
      <alignment horizontal="right"/>
    </xf>
    <xf numFmtId="0" fontId="72" fillId="0" borderId="0" xfId="0" applyFont="1" applyFill="1" applyBorder="1" applyAlignment="1" applyProtection="1">
      <alignment horizontal="right"/>
    </xf>
    <xf numFmtId="0" fontId="79" fillId="0" borderId="0" xfId="0" applyFont="1" applyFill="1" applyBorder="1" applyProtection="1"/>
    <xf numFmtId="0" fontId="80" fillId="0" borderId="0" xfId="0" applyFont="1" applyFill="1" applyBorder="1" applyAlignment="1" applyProtection="1">
      <alignment horizontal="center"/>
    </xf>
    <xf numFmtId="0" fontId="74" fillId="0" borderId="0" xfId="0" applyFont="1" applyFill="1" applyBorder="1" applyAlignment="1" applyProtection="1">
      <alignment horizontal="center"/>
    </xf>
    <xf numFmtId="0" fontId="81" fillId="0" borderId="0" xfId="0" applyFont="1" applyFill="1" applyBorder="1" applyAlignment="1" applyProtection="1">
      <alignment horizontal="right"/>
    </xf>
    <xf numFmtId="0" fontId="23" fillId="4" borderId="0" xfId="0" applyFont="1" applyFill="1" applyProtection="1"/>
    <xf numFmtId="0" fontId="24" fillId="4" borderId="0" xfId="0" applyFont="1" applyFill="1" applyProtection="1"/>
    <xf numFmtId="0" fontId="25" fillId="4" borderId="0" xfId="0" applyFont="1" applyFill="1" applyProtection="1"/>
    <xf numFmtId="3" fontId="27" fillId="4" borderId="0" xfId="0" applyNumberFormat="1" applyFont="1" applyFill="1" applyBorder="1" applyAlignment="1" applyProtection="1">
      <alignment horizontal="center"/>
    </xf>
    <xf numFmtId="0" fontId="28" fillId="4" borderId="4" xfId="0" applyFont="1" applyFill="1" applyBorder="1" applyAlignment="1" applyProtection="1">
      <alignment horizontal="center" vertical="center"/>
    </xf>
    <xf numFmtId="169" fontId="11" fillId="4" borderId="72" xfId="0" applyNumberFormat="1" applyFont="1" applyFill="1" applyBorder="1" applyAlignment="1" applyProtection="1">
      <alignment horizontal="left" vertical="center"/>
    </xf>
    <xf numFmtId="0" fontId="28" fillId="4" borderId="0" xfId="0" applyFont="1" applyFill="1" applyBorder="1" applyAlignment="1" applyProtection="1">
      <alignment horizontal="right" vertical="center"/>
    </xf>
    <xf numFmtId="0" fontId="12" fillId="4" borderId="0" xfId="0" applyFont="1" applyFill="1" applyBorder="1" applyAlignment="1" applyProtection="1">
      <alignment vertical="center"/>
    </xf>
    <xf numFmtId="0" fontId="12" fillId="4" borderId="5" xfId="0" applyFont="1" applyFill="1" applyBorder="1" applyAlignment="1" applyProtection="1">
      <alignment vertical="center"/>
    </xf>
    <xf numFmtId="0" fontId="27" fillId="4" borderId="0" xfId="0" applyFont="1" applyFill="1" applyBorder="1" applyAlignment="1" applyProtection="1">
      <alignment horizontal="center"/>
    </xf>
    <xf numFmtId="0" fontId="4" fillId="4" borderId="0" xfId="0" applyFont="1" applyFill="1" applyBorder="1" applyAlignment="1" applyProtection="1">
      <alignment vertical="center"/>
    </xf>
    <xf numFmtId="0" fontId="4" fillId="4" borderId="5" xfId="0" applyFont="1" applyFill="1" applyBorder="1" applyAlignment="1" applyProtection="1">
      <alignment vertical="center"/>
    </xf>
    <xf numFmtId="0" fontId="29" fillId="4" borderId="0" xfId="0" applyFont="1" applyFill="1" applyBorder="1" applyProtection="1"/>
    <xf numFmtId="0" fontId="29" fillId="4" borderId="0" xfId="0" applyFont="1" applyFill="1" applyBorder="1" applyAlignment="1" applyProtection="1">
      <alignment vertical="top"/>
    </xf>
    <xf numFmtId="0" fontId="23" fillId="4" borderId="0" xfId="0" applyFont="1" applyFill="1" applyAlignment="1" applyProtection="1">
      <alignment vertical="top"/>
    </xf>
    <xf numFmtId="0" fontId="24" fillId="4" borderId="0" xfId="0" applyFont="1" applyFill="1" applyAlignment="1" applyProtection="1">
      <alignment vertical="top"/>
    </xf>
    <xf numFmtId="0" fontId="25" fillId="4" borderId="0" xfId="0" applyFont="1" applyFill="1" applyAlignment="1" applyProtection="1">
      <alignment vertical="top"/>
    </xf>
    <xf numFmtId="0" fontId="28" fillId="4" borderId="10" xfId="0" applyFont="1" applyFill="1" applyBorder="1" applyAlignment="1" applyProtection="1">
      <alignment horizontal="center" vertical="center"/>
    </xf>
    <xf numFmtId="0" fontId="28" fillId="4" borderId="6" xfId="0" applyFont="1" applyFill="1" applyBorder="1" applyAlignment="1" applyProtection="1">
      <alignment horizontal="right" vertical="center"/>
    </xf>
    <xf numFmtId="0" fontId="4" fillId="4" borderId="6" xfId="0" applyFont="1" applyFill="1" applyBorder="1" applyAlignment="1" applyProtection="1">
      <alignment vertical="center"/>
    </xf>
    <xf numFmtId="0" fontId="11" fillId="4" borderId="6" xfId="0" applyFont="1" applyFill="1" applyBorder="1" applyAlignment="1" applyProtection="1">
      <alignment vertical="center"/>
    </xf>
    <xf numFmtId="0" fontId="11" fillId="4" borderId="9" xfId="0" applyFont="1" applyFill="1" applyBorder="1" applyAlignment="1" applyProtection="1">
      <alignment vertical="center"/>
    </xf>
    <xf numFmtId="0" fontId="10" fillId="4" borderId="1" xfId="0" applyFont="1" applyFill="1" applyBorder="1" applyAlignment="1" applyProtection="1">
      <alignment horizontal="center" wrapText="1"/>
    </xf>
    <xf numFmtId="0" fontId="10" fillId="4" borderId="3" xfId="0" applyFont="1" applyFill="1" applyBorder="1" applyAlignment="1" applyProtection="1">
      <alignment horizontal="center" wrapText="1"/>
    </xf>
    <xf numFmtId="0" fontId="14" fillId="4" borderId="2" xfId="0" applyFont="1" applyFill="1" applyBorder="1" applyAlignment="1" applyProtection="1"/>
    <xf numFmtId="0" fontId="14" fillId="4" borderId="4" xfId="0" applyFont="1" applyFill="1" applyBorder="1" applyAlignment="1" applyProtection="1"/>
    <xf numFmtId="0" fontId="17" fillId="4" borderId="4" xfId="0" applyFont="1" applyFill="1" applyBorder="1" applyAlignment="1" applyProtection="1">
      <alignment horizontal="center" vertical="top" wrapText="1"/>
    </xf>
    <xf numFmtId="0" fontId="11" fillId="4" borderId="0" xfId="0" applyFont="1" applyFill="1" applyBorder="1" applyAlignment="1" applyProtection="1">
      <alignment horizontal="center" vertical="center" wrapText="1"/>
    </xf>
    <xf numFmtId="0" fontId="15" fillId="4" borderId="10" xfId="0" applyFont="1" applyFill="1" applyBorder="1" applyAlignment="1" applyProtection="1"/>
    <xf numFmtId="164" fontId="23" fillId="4" borderId="0" xfId="1" applyNumberFormat="1" applyFont="1" applyFill="1" applyBorder="1" applyAlignment="1" applyProtection="1">
      <alignment horizontal="center"/>
    </xf>
    <xf numFmtId="0" fontId="23" fillId="4" borderId="0" xfId="0" applyFont="1" applyFill="1" applyBorder="1" applyProtection="1"/>
    <xf numFmtId="0" fontId="14" fillId="4" borderId="0" xfId="0" applyFont="1" applyFill="1" applyProtection="1"/>
    <xf numFmtId="172" fontId="29" fillId="4" borderId="0" xfId="1" applyNumberFormat="1" applyFont="1" applyFill="1" applyBorder="1" applyAlignment="1" applyProtection="1">
      <alignment horizontal="right"/>
    </xf>
    <xf numFmtId="39" fontId="29" fillId="4" borderId="0" xfId="1" applyNumberFormat="1" applyFont="1" applyFill="1" applyBorder="1" applyAlignment="1" applyProtection="1">
      <alignment horizontal="right"/>
    </xf>
    <xf numFmtId="164" fontId="29" fillId="4" borderId="0" xfId="1" applyNumberFormat="1" applyFont="1" applyFill="1" applyBorder="1" applyAlignment="1" applyProtection="1">
      <alignment horizontal="left"/>
    </xf>
    <xf numFmtId="169" fontId="16" fillId="4" borderId="73" xfId="3" applyNumberFormat="1" applyFont="1" applyFill="1" applyBorder="1" applyAlignment="1" applyProtection="1">
      <alignment horizontal="right"/>
    </xf>
    <xf numFmtId="172" fontId="29" fillId="4" borderId="0" xfId="0" applyNumberFormat="1" applyFont="1" applyFill="1" applyProtection="1"/>
    <xf numFmtId="0" fontId="29" fillId="4" borderId="0" xfId="0" applyFont="1" applyFill="1" applyAlignment="1" applyProtection="1">
      <alignment horizontal="right"/>
    </xf>
    <xf numFmtId="169" fontId="16" fillId="4" borderId="72" xfId="3" applyNumberFormat="1" applyFont="1" applyFill="1" applyBorder="1" applyAlignment="1" applyProtection="1">
      <alignment horizontal="right"/>
    </xf>
    <xf numFmtId="37" fontId="23" fillId="4" borderId="0" xfId="0" applyNumberFormat="1" applyFont="1" applyFill="1" applyAlignment="1" applyProtection="1">
      <alignment horizontal="center"/>
    </xf>
    <xf numFmtId="3" fontId="14" fillId="4" borderId="0" xfId="0" applyNumberFormat="1" applyFont="1" applyFill="1" applyBorder="1" applyAlignment="1" applyProtection="1">
      <alignment horizontal="right"/>
    </xf>
    <xf numFmtId="168" fontId="14" fillId="4" borderId="0" xfId="1" applyNumberFormat="1" applyFont="1" applyFill="1" applyBorder="1" applyAlignment="1" applyProtection="1">
      <alignment horizontal="right"/>
    </xf>
    <xf numFmtId="168" fontId="15" fillId="4" borderId="0" xfId="0" applyNumberFormat="1" applyFont="1" applyFill="1" applyBorder="1" applyAlignment="1" applyProtection="1">
      <alignment horizontal="right"/>
    </xf>
    <xf numFmtId="4" fontId="14" fillId="4" borderId="0" xfId="1" applyNumberFormat="1" applyFont="1" applyFill="1" applyBorder="1" applyAlignment="1" applyProtection="1">
      <alignment horizontal="right"/>
    </xf>
    <xf numFmtId="0" fontId="15" fillId="4" borderId="0" xfId="0" applyFont="1" applyFill="1" applyProtection="1"/>
    <xf numFmtId="168" fontId="15" fillId="4" borderId="40" xfId="0" applyNumberFormat="1" applyFont="1" applyFill="1" applyBorder="1" applyAlignment="1" applyProtection="1">
      <alignment horizontal="right"/>
    </xf>
    <xf numFmtId="49" fontId="17" fillId="4" borderId="0" xfId="0" applyNumberFormat="1" applyFont="1" applyFill="1" applyAlignment="1" applyProtection="1"/>
    <xf numFmtId="0" fontId="9" fillId="4" borderId="0" xfId="0" applyFont="1" applyFill="1" applyAlignment="1" applyProtection="1">
      <alignment vertical="top"/>
    </xf>
    <xf numFmtId="0" fontId="32" fillId="4" borderId="0" xfId="0" applyFont="1" applyFill="1" applyAlignment="1" applyProtection="1">
      <alignment vertical="top"/>
    </xf>
    <xf numFmtId="0" fontId="33" fillId="4" borderId="0" xfId="0" applyFont="1" applyFill="1" applyAlignment="1" applyProtection="1">
      <alignment vertical="top"/>
    </xf>
    <xf numFmtId="0" fontId="34" fillId="4" borderId="0" xfId="0" applyFont="1" applyFill="1" applyAlignment="1" applyProtection="1">
      <alignment vertical="top"/>
    </xf>
    <xf numFmtId="0" fontId="9" fillId="4" borderId="16" xfId="0" applyFont="1" applyFill="1" applyBorder="1" applyAlignment="1" applyProtection="1">
      <alignment vertical="top"/>
    </xf>
    <xf numFmtId="0" fontId="35" fillId="4" borderId="0" xfId="0" applyFont="1" applyFill="1" applyAlignment="1" applyProtection="1"/>
    <xf numFmtId="0" fontId="14" fillId="4" borderId="0" xfId="0" applyFont="1" applyFill="1" applyAlignment="1" applyProtection="1"/>
    <xf numFmtId="0" fontId="35" fillId="4" borderId="0" xfId="0" applyFont="1" applyFill="1" applyAlignment="1" applyProtection="1">
      <alignment horizontal="left"/>
    </xf>
    <xf numFmtId="0" fontId="38" fillId="4" borderId="0" xfId="0" applyFont="1" applyFill="1" applyAlignment="1" applyProtection="1"/>
    <xf numFmtId="0" fontId="38" fillId="4" borderId="0" xfId="0" applyFont="1" applyFill="1" applyAlignment="1" applyProtection="1">
      <alignment horizontal="left"/>
    </xf>
    <xf numFmtId="0" fontId="40" fillId="4" borderId="0" xfId="0" applyFont="1" applyFill="1" applyAlignment="1" applyProtection="1"/>
    <xf numFmtId="0" fontId="25" fillId="4" borderId="0" xfId="0" applyFont="1" applyFill="1" applyAlignment="1" applyProtection="1"/>
    <xf numFmtId="169" fontId="16" fillId="5" borderId="74" xfId="3" applyNumberFormat="1" applyFont="1" applyFill="1" applyBorder="1" applyAlignment="1" applyProtection="1">
      <alignment horizontal="right"/>
      <protection locked="0"/>
    </xf>
    <xf numFmtId="174" fontId="26" fillId="5" borderId="75" xfId="3" applyNumberFormat="1" applyFont="1" applyFill="1" applyBorder="1" applyAlignment="1" applyProtection="1">
      <alignment horizontal="right"/>
      <protection locked="0"/>
    </xf>
    <xf numFmtId="0" fontId="14" fillId="7" borderId="2" xfId="0" applyFont="1" applyFill="1" applyBorder="1"/>
    <xf numFmtId="0" fontId="14" fillId="6" borderId="13" xfId="0" applyFont="1" applyFill="1" applyBorder="1"/>
    <xf numFmtId="4" fontId="14" fillId="6" borderId="13" xfId="1" applyNumberFormat="1" applyFont="1" applyFill="1" applyBorder="1"/>
    <xf numFmtId="4" fontId="14" fillId="6" borderId="43" xfId="1" applyNumberFormat="1" applyFont="1" applyFill="1" applyBorder="1"/>
    <xf numFmtId="0" fontId="15" fillId="7" borderId="3" xfId="0" applyFont="1" applyFill="1" applyBorder="1" applyAlignment="1">
      <alignment horizontal="center"/>
    </xf>
    <xf numFmtId="3" fontId="5" fillId="0" borderId="6" xfId="0" applyNumberFormat="1" applyFont="1" applyBorder="1" applyAlignment="1">
      <alignment horizontal="left"/>
    </xf>
    <xf numFmtId="3" fontId="5" fillId="0" borderId="6" xfId="0" applyNumberFormat="1" applyFont="1" applyBorder="1" applyAlignment="1">
      <alignment horizontal="right"/>
    </xf>
    <xf numFmtId="0" fontId="14" fillId="0" borderId="0" xfId="0" applyFont="1" applyFill="1" applyAlignment="1">
      <alignment vertical="center"/>
    </xf>
    <xf numFmtId="0" fontId="14" fillId="0" borderId="0" xfId="0" applyFont="1" applyFill="1" applyAlignment="1">
      <alignment horizontal="center" vertical="center"/>
    </xf>
    <xf numFmtId="0" fontId="45" fillId="0" borderId="0" xfId="0" applyFont="1" applyFill="1" applyAlignment="1">
      <alignment horizontal="left" vertical="center" wrapText="1"/>
    </xf>
    <xf numFmtId="0" fontId="14" fillId="0" borderId="0" xfId="0" applyFont="1" applyAlignment="1">
      <alignment vertical="center"/>
    </xf>
    <xf numFmtId="0" fontId="14" fillId="0" borderId="0" xfId="0" applyFont="1" applyAlignment="1">
      <alignment horizontal="center" vertical="center"/>
    </xf>
    <xf numFmtId="0" fontId="14" fillId="0" borderId="49" xfId="0" applyFont="1" applyBorder="1" applyAlignment="1">
      <alignment vertical="center"/>
    </xf>
    <xf numFmtId="0" fontId="14" fillId="0" borderId="50" xfId="0" applyFont="1" applyBorder="1" applyAlignment="1">
      <alignment vertical="center"/>
    </xf>
    <xf numFmtId="0" fontId="22" fillId="0" borderId="51" xfId="0" applyFont="1" applyBorder="1" applyAlignment="1">
      <alignment horizontal="center" vertical="center"/>
    </xf>
    <xf numFmtId="0" fontId="14" fillId="0" borderId="51" xfId="0" applyFont="1" applyBorder="1" applyAlignment="1">
      <alignment vertical="center"/>
    </xf>
    <xf numFmtId="0" fontId="14" fillId="0" borderId="52" xfId="0" applyFont="1" applyBorder="1" applyAlignment="1">
      <alignment vertical="center"/>
    </xf>
    <xf numFmtId="0" fontId="14" fillId="0" borderId="46" xfId="0" applyFont="1" applyBorder="1" applyAlignment="1">
      <alignment vertical="center"/>
    </xf>
    <xf numFmtId="0" fontId="14" fillId="0" borderId="0" xfId="0" applyFont="1" applyBorder="1" applyAlignment="1">
      <alignment vertical="center"/>
    </xf>
    <xf numFmtId="0" fontId="14" fillId="0" borderId="0" xfId="0" applyFont="1" applyBorder="1" applyAlignment="1">
      <alignment horizontal="center" vertical="center"/>
    </xf>
    <xf numFmtId="8" fontId="78" fillId="0" borderId="53" xfId="3" applyFont="1" applyFill="1" applyBorder="1" applyAlignment="1">
      <alignment horizontal="center" vertical="center"/>
    </xf>
    <xf numFmtId="0" fontId="26" fillId="0" borderId="49" xfId="0" applyFont="1" applyBorder="1" applyAlignment="1">
      <alignment vertical="center"/>
    </xf>
    <xf numFmtId="0" fontId="14" fillId="0" borderId="0" xfId="0" applyFont="1" applyFill="1" applyBorder="1" applyAlignment="1">
      <alignment horizontal="center" vertical="center"/>
    </xf>
    <xf numFmtId="0" fontId="82" fillId="5" borderId="53" xfId="0" applyFont="1" applyFill="1" applyBorder="1" applyAlignment="1">
      <alignment horizontal="center" vertical="center"/>
    </xf>
    <xf numFmtId="8" fontId="5" fillId="0" borderId="53" xfId="3" applyFont="1" applyFill="1" applyBorder="1" applyAlignment="1">
      <alignment horizontal="center" vertical="center"/>
    </xf>
    <xf numFmtId="3" fontId="78" fillId="13" borderId="53" xfId="0" applyNumberFormat="1" applyFont="1" applyFill="1" applyBorder="1" applyAlignment="1">
      <alignment horizontal="center" vertical="center"/>
    </xf>
    <xf numFmtId="0" fontId="76" fillId="0" borderId="49" xfId="0" applyFont="1" applyBorder="1" applyAlignment="1">
      <alignment vertical="center" wrapText="1"/>
    </xf>
    <xf numFmtId="0" fontId="14" fillId="0" borderId="48" xfId="0" applyFont="1" applyBorder="1" applyAlignment="1">
      <alignment vertical="center"/>
    </xf>
    <xf numFmtId="0" fontId="14" fillId="0" borderId="16" xfId="0" applyFont="1" applyBorder="1" applyAlignment="1">
      <alignment horizontal="center" vertical="center"/>
    </xf>
    <xf numFmtId="0" fontId="14" fillId="0" borderId="16" xfId="0" applyFont="1" applyBorder="1" applyAlignment="1">
      <alignment vertical="center"/>
    </xf>
    <xf numFmtId="0" fontId="14" fillId="0" borderId="54" xfId="0" applyFont="1" applyBorder="1" applyAlignment="1">
      <alignment vertical="center"/>
    </xf>
    <xf numFmtId="0" fontId="22" fillId="0" borderId="0" xfId="0" applyFont="1" applyAlignment="1">
      <alignment horizontal="center" vertical="center"/>
    </xf>
    <xf numFmtId="0" fontId="22" fillId="0" borderId="0" xfId="0" applyFont="1" applyAlignment="1">
      <alignment vertical="center"/>
    </xf>
    <xf numFmtId="0" fontId="14" fillId="0" borderId="0" xfId="0" applyFont="1" applyAlignment="1">
      <alignment horizontal="center" vertical="center" wrapText="1"/>
    </xf>
    <xf numFmtId="0" fontId="83" fillId="0" borderId="0" xfId="0" applyFont="1" applyAlignment="1">
      <alignment vertical="center"/>
    </xf>
    <xf numFmtId="0" fontId="83" fillId="0" borderId="0" xfId="0" applyFont="1" applyAlignment="1">
      <alignment vertical="center" wrapText="1"/>
    </xf>
    <xf numFmtId="0" fontId="15" fillId="0" borderId="0" xfId="0" applyFont="1" applyAlignment="1">
      <alignment horizontal="left" vertical="center" wrapText="1"/>
    </xf>
    <xf numFmtId="0" fontId="83" fillId="0" borderId="0" xfId="0" applyFont="1" applyAlignment="1">
      <alignment horizontal="left" vertical="center"/>
    </xf>
    <xf numFmtId="0" fontId="15" fillId="0" borderId="0" xfId="0" applyFont="1" applyFill="1" applyAlignment="1">
      <alignment vertical="center" wrapText="1"/>
    </xf>
    <xf numFmtId="0" fontId="83" fillId="0" borderId="0" xfId="0" applyFont="1" applyFill="1" applyAlignment="1">
      <alignment horizontal="left" vertical="center"/>
    </xf>
    <xf numFmtId="0" fontId="15" fillId="0" borderId="0" xfId="0" applyFont="1" applyAlignment="1">
      <alignment vertical="center"/>
    </xf>
    <xf numFmtId="0" fontId="58" fillId="0" borderId="0" xfId="0" applyFont="1" applyFill="1" applyAlignment="1">
      <alignment vertical="center"/>
    </xf>
    <xf numFmtId="0" fontId="83" fillId="0" borderId="0" xfId="0" applyFont="1" applyAlignment="1">
      <alignment horizontal="left" vertical="center" wrapText="1" indent="1"/>
    </xf>
    <xf numFmtId="0" fontId="83" fillId="0" borderId="0" xfId="0" applyFont="1" applyAlignment="1">
      <alignment horizontal="left" vertical="center" indent="1"/>
    </xf>
    <xf numFmtId="0" fontId="14" fillId="0" borderId="0" xfId="0" applyFont="1" applyAlignment="1">
      <alignment horizontal="left" vertical="center" wrapText="1" indent="1"/>
    </xf>
    <xf numFmtId="0" fontId="83" fillId="0" borderId="0" xfId="0" applyFont="1" applyAlignment="1">
      <alignment horizontal="left" vertical="center" wrapText="1" indent="3"/>
    </xf>
    <xf numFmtId="0" fontId="83" fillId="0" borderId="0" xfId="0" applyFont="1" applyAlignment="1">
      <alignment horizontal="left" vertical="center" indent="3"/>
    </xf>
    <xf numFmtId="0" fontId="57" fillId="0" borderId="0" xfId="0" applyFont="1" applyFill="1" applyAlignment="1">
      <alignment vertical="center" wrapText="1"/>
    </xf>
    <xf numFmtId="0" fontId="15" fillId="0" borderId="0" xfId="0" applyFont="1" applyAlignment="1">
      <alignment vertical="center" wrapText="1"/>
    </xf>
    <xf numFmtId="0" fontId="82" fillId="0" borderId="0" xfId="0" applyFont="1" applyAlignment="1">
      <alignment vertical="center" wrapText="1"/>
    </xf>
    <xf numFmtId="0" fontId="4" fillId="0" borderId="5" xfId="0" applyFont="1" applyBorder="1" applyAlignment="1">
      <alignment horizontal="center"/>
    </xf>
    <xf numFmtId="172" fontId="5" fillId="6" borderId="9" xfId="0" applyNumberFormat="1" applyFont="1" applyFill="1" applyBorder="1" applyAlignment="1">
      <alignment horizontal="center"/>
    </xf>
    <xf numFmtId="3" fontId="4" fillId="0" borderId="4" xfId="0" applyNumberFormat="1" applyFont="1" applyFill="1" applyBorder="1"/>
    <xf numFmtId="3" fontId="5" fillId="0" borderId="10" xfId="0" applyNumberFormat="1" applyFont="1" applyFill="1" applyBorder="1"/>
    <xf numFmtId="0" fontId="4" fillId="6" borderId="20" xfId="0" applyFont="1" applyFill="1" applyBorder="1"/>
    <xf numFmtId="3" fontId="4" fillId="6" borderId="20" xfId="0" applyNumberFormat="1" applyFont="1" applyFill="1" applyBorder="1"/>
    <xf numFmtId="3" fontId="4" fillId="6" borderId="20" xfId="0" applyNumberFormat="1" applyFont="1" applyFill="1" applyBorder="1" applyAlignment="1">
      <alignment horizontal="right"/>
    </xf>
    <xf numFmtId="0" fontId="4" fillId="6" borderId="20" xfId="0" applyFont="1" applyFill="1" applyBorder="1" applyAlignment="1">
      <alignment horizontal="center"/>
    </xf>
    <xf numFmtId="0" fontId="4" fillId="6" borderId="45" xfId="0" applyFont="1" applyFill="1" applyBorder="1" applyAlignment="1">
      <alignment horizontal="center"/>
    </xf>
    <xf numFmtId="0" fontId="4" fillId="6" borderId="5" xfId="0" applyFont="1" applyFill="1" applyBorder="1"/>
    <xf numFmtId="3" fontId="9" fillId="0" borderId="0" xfId="0" applyNumberFormat="1" applyFont="1" applyFill="1" applyBorder="1"/>
    <xf numFmtId="0" fontId="82" fillId="0" borderId="0" xfId="0" applyFont="1" applyBorder="1" applyAlignment="1">
      <alignment horizontal="center" vertical="center"/>
    </xf>
    <xf numFmtId="0" fontId="14" fillId="0" borderId="10" xfId="0" applyFont="1" applyFill="1" applyBorder="1"/>
    <xf numFmtId="10" fontId="14" fillId="0" borderId="0" xfId="7" applyNumberFormat="1" applyFont="1" applyBorder="1"/>
    <xf numFmtId="10" fontId="14" fillId="0" borderId="6" xfId="7" applyNumberFormat="1" applyFont="1" applyBorder="1"/>
    <xf numFmtId="3" fontId="4" fillId="0" borderId="13" xfId="1" applyNumberFormat="1" applyFont="1" applyBorder="1" applyAlignment="1">
      <alignment horizontal="center"/>
    </xf>
    <xf numFmtId="0" fontId="78" fillId="0" borderId="0" xfId="0" applyFont="1" applyBorder="1" applyAlignment="1">
      <alignment horizontal="center"/>
    </xf>
    <xf numFmtId="1" fontId="78" fillId="0" borderId="0" xfId="0" applyNumberFormat="1" applyFont="1" applyBorder="1" applyAlignment="1">
      <alignment horizontal="center"/>
    </xf>
    <xf numFmtId="170" fontId="4" fillId="6" borderId="0" xfId="0" quotePrefix="1" applyNumberFormat="1" applyFont="1" applyFill="1" applyBorder="1" applyAlignment="1">
      <alignment horizontal="left"/>
    </xf>
    <xf numFmtId="170" fontId="4" fillId="6" borderId="0" xfId="0" applyNumberFormat="1" applyFont="1" applyFill="1" applyBorder="1" applyAlignment="1">
      <alignment horizontal="left"/>
    </xf>
    <xf numFmtId="49" fontId="4" fillId="6" borderId="0" xfId="0" applyNumberFormat="1" applyFont="1" applyFill="1" applyBorder="1" applyAlignment="1">
      <alignment horizontal="left"/>
    </xf>
    <xf numFmtId="1" fontId="4" fillId="6" borderId="0" xfId="0" applyNumberFormat="1" applyFont="1" applyFill="1" applyBorder="1" applyAlignment="1">
      <alignment horizontal="left"/>
    </xf>
    <xf numFmtId="176" fontId="4" fillId="6" borderId="0" xfId="7" applyNumberFormat="1" applyFont="1" applyFill="1" applyBorder="1" applyAlignment="1"/>
    <xf numFmtId="10" fontId="4" fillId="6" borderId="0" xfId="7" applyNumberFormat="1" applyFont="1" applyFill="1" applyBorder="1" applyAlignment="1"/>
    <xf numFmtId="168" fontId="4" fillId="6" borderId="0" xfId="0" applyNumberFormat="1" applyFont="1" applyFill="1" applyBorder="1" applyAlignment="1"/>
    <xf numFmtId="3" fontId="4" fillId="6" borderId="0" xfId="0" applyNumberFormat="1" applyFont="1" applyFill="1" applyBorder="1" applyAlignment="1"/>
    <xf numFmtId="8" fontId="4" fillId="6" borderId="0" xfId="3" applyNumberFormat="1" applyFont="1" applyFill="1" applyBorder="1" applyAlignment="1"/>
    <xf numFmtId="3" fontId="9" fillId="6" borderId="0" xfId="0" applyNumberFormat="1" applyFont="1" applyFill="1" applyBorder="1" applyAlignment="1">
      <alignment horizontal="left"/>
    </xf>
    <xf numFmtId="3" fontId="9" fillId="6" borderId="0" xfId="0" applyNumberFormat="1" applyFont="1" applyFill="1" applyBorder="1"/>
    <xf numFmtId="3" fontId="4" fillId="0" borderId="5" xfId="0" applyNumberFormat="1" applyFont="1" applyBorder="1" applyAlignment="1"/>
    <xf numFmtId="8" fontId="4" fillId="0" borderId="5" xfId="3" applyNumberFormat="1" applyFont="1" applyBorder="1" applyAlignment="1"/>
    <xf numFmtId="3" fontId="9" fillId="0" borderId="5" xfId="0" applyNumberFormat="1" applyFont="1" applyBorder="1" applyAlignment="1">
      <alignment horizontal="left"/>
    </xf>
    <xf numFmtId="3" fontId="9" fillId="0" borderId="5" xfId="0" applyNumberFormat="1" applyFont="1" applyBorder="1"/>
    <xf numFmtId="0" fontId="9" fillId="0" borderId="5" xfId="0" applyFont="1" applyBorder="1" applyAlignment="1"/>
    <xf numFmtId="0" fontId="15" fillId="6" borderId="18" xfId="0" applyFont="1" applyFill="1" applyBorder="1"/>
    <xf numFmtId="0" fontId="72" fillId="0" borderId="4" xfId="0" applyFont="1" applyBorder="1"/>
    <xf numFmtId="0" fontId="72" fillId="0" borderId="10" xfId="0" applyFont="1" applyBorder="1"/>
    <xf numFmtId="0" fontId="5" fillId="6" borderId="21" xfId="0" applyFont="1" applyFill="1" applyBorder="1" applyAlignment="1">
      <alignment wrapText="1" shrinkToFit="1"/>
    </xf>
    <xf numFmtId="0" fontId="5" fillId="6" borderId="16" xfId="0" applyFont="1" applyFill="1" applyBorder="1" applyAlignment="1">
      <alignment wrapText="1" shrinkToFit="1"/>
    </xf>
    <xf numFmtId="0" fontId="5" fillId="6" borderId="42" xfId="0" applyFont="1" applyFill="1" applyBorder="1" applyAlignment="1">
      <alignment wrapText="1" shrinkToFit="1"/>
    </xf>
    <xf numFmtId="0" fontId="84" fillId="0" borderId="0" xfId="0" applyFont="1"/>
    <xf numFmtId="0" fontId="84" fillId="0" borderId="0" xfId="0" applyFont="1" applyAlignment="1">
      <alignment horizontal="center"/>
    </xf>
    <xf numFmtId="9" fontId="4" fillId="0" borderId="0" xfId="7" applyFont="1" applyBorder="1"/>
    <xf numFmtId="9" fontId="4" fillId="0" borderId="5" xfId="7" applyFont="1" applyBorder="1"/>
    <xf numFmtId="9" fontId="4" fillId="0" borderId="6" xfId="7" applyFont="1" applyBorder="1"/>
    <xf numFmtId="8" fontId="4" fillId="0" borderId="6" xfId="3" applyFont="1" applyBorder="1"/>
    <xf numFmtId="9" fontId="4" fillId="0" borderId="9" xfId="7" applyFont="1" applyBorder="1"/>
    <xf numFmtId="9" fontId="4" fillId="0" borderId="0" xfId="7" applyFont="1" applyBorder="1" applyAlignment="1">
      <alignment horizontal="center"/>
    </xf>
    <xf numFmtId="0" fontId="78" fillId="0" borderId="0" xfId="0" applyFont="1" applyFill="1" applyBorder="1" applyAlignment="1">
      <alignment horizontal="center"/>
    </xf>
    <xf numFmtId="0" fontId="14" fillId="0" borderId="44" xfId="0" applyFont="1" applyBorder="1" applyAlignment="1">
      <alignment horizontal="center"/>
    </xf>
    <xf numFmtId="0" fontId="14" fillId="0" borderId="12" xfId="0" applyFont="1" applyBorder="1" applyAlignment="1">
      <alignment horizontal="center"/>
    </xf>
    <xf numFmtId="3" fontId="4" fillId="0" borderId="18" xfId="0" applyNumberFormat="1" applyFont="1" applyFill="1" applyBorder="1" applyAlignment="1">
      <alignment horizontal="right"/>
    </xf>
    <xf numFmtId="3" fontId="4" fillId="0" borderId="13" xfId="0" applyNumberFormat="1" applyFont="1" applyFill="1" applyBorder="1" applyAlignment="1">
      <alignment horizontal="right"/>
    </xf>
    <xf numFmtId="0" fontId="5" fillId="0" borderId="5" xfId="0" applyFont="1" applyFill="1" applyBorder="1" applyAlignment="1">
      <alignment horizontal="right"/>
    </xf>
    <xf numFmtId="0" fontId="5" fillId="0" borderId="5" xfId="0" applyFont="1" applyFill="1" applyBorder="1"/>
    <xf numFmtId="0" fontId="5" fillId="0" borderId="44" xfId="0" applyFont="1" applyFill="1" applyBorder="1" applyAlignment="1">
      <alignment horizontal="center"/>
    </xf>
    <xf numFmtId="0" fontId="4" fillId="0" borderId="4" xfId="0" applyFont="1" applyFill="1" applyBorder="1" applyAlignment="1">
      <alignment horizontal="left"/>
    </xf>
    <xf numFmtId="4" fontId="4" fillId="0" borderId="4" xfId="0" applyNumberFormat="1" applyFont="1" applyFill="1" applyBorder="1" applyAlignment="1">
      <alignment horizontal="center"/>
    </xf>
    <xf numFmtId="9" fontId="4" fillId="0" borderId="4" xfId="0" applyNumberFormat="1" applyFont="1" applyFill="1" applyBorder="1" applyAlignment="1">
      <alignment horizontal="center"/>
    </xf>
    <xf numFmtId="3" fontId="5" fillId="13" borderId="43" xfId="0" applyNumberFormat="1" applyFont="1" applyFill="1" applyBorder="1" applyAlignment="1">
      <alignment horizontal="right"/>
    </xf>
    <xf numFmtId="0" fontId="78" fillId="0" borderId="4" xfId="0" applyFont="1" applyFill="1" applyBorder="1"/>
    <xf numFmtId="3" fontId="78" fillId="0" borderId="5" xfId="0" applyNumberFormat="1" applyFont="1" applyFill="1" applyBorder="1" applyAlignment="1">
      <alignment horizontal="center"/>
    </xf>
    <xf numFmtId="9" fontId="4" fillId="0" borderId="13" xfId="7" applyFont="1" applyBorder="1"/>
    <xf numFmtId="0" fontId="5" fillId="0" borderId="10" xfId="0" applyFont="1" applyFill="1" applyBorder="1" applyAlignment="1">
      <alignment horizontal="left"/>
    </xf>
    <xf numFmtId="0" fontId="5" fillId="0" borderId="10" xfId="0" applyFont="1" applyFill="1" applyBorder="1" applyAlignment="1">
      <alignment horizontal="center"/>
    </xf>
    <xf numFmtId="0" fontId="5" fillId="0" borderId="9" xfId="0" applyFont="1" applyFill="1" applyBorder="1" applyAlignment="1">
      <alignment horizontal="center"/>
    </xf>
    <xf numFmtId="3" fontId="5" fillId="0" borderId="10" xfId="0" applyNumberFormat="1" applyFont="1" applyFill="1" applyBorder="1" applyAlignment="1">
      <alignment horizontal="center"/>
    </xf>
    <xf numFmtId="3" fontId="5" fillId="0" borderId="9" xfId="0" applyNumberFormat="1" applyFont="1" applyFill="1" applyBorder="1" applyAlignment="1">
      <alignment horizontal="center"/>
    </xf>
    <xf numFmtId="3" fontId="5" fillId="0" borderId="6" xfId="0" applyNumberFormat="1" applyFont="1" applyFill="1" applyBorder="1" applyAlignment="1">
      <alignment horizontal="center"/>
    </xf>
    <xf numFmtId="0" fontId="22" fillId="6" borderId="18" xfId="0" applyFont="1" applyFill="1" applyBorder="1" applyAlignment="1">
      <alignment horizontal="left"/>
    </xf>
    <xf numFmtId="0" fontId="46" fillId="6" borderId="13" xfId="0" applyFont="1" applyFill="1" applyBorder="1"/>
    <xf numFmtId="0" fontId="22" fillId="6" borderId="13" xfId="0" applyFont="1" applyFill="1" applyBorder="1"/>
    <xf numFmtId="172" fontId="5" fillId="0" borderId="0" xfId="0" applyNumberFormat="1" applyFont="1" applyFill="1" applyBorder="1" applyAlignment="1">
      <alignment horizontal="center"/>
    </xf>
    <xf numFmtId="3" fontId="5" fillId="13" borderId="13" xfId="0" applyNumberFormat="1" applyFont="1" applyFill="1" applyBorder="1"/>
    <xf numFmtId="0" fontId="85" fillId="13" borderId="0" xfId="0" applyFont="1" applyFill="1" applyProtection="1"/>
    <xf numFmtId="0" fontId="4" fillId="0" borderId="44" xfId="0" applyFont="1" applyBorder="1" applyAlignment="1">
      <alignment horizontal="center"/>
    </xf>
    <xf numFmtId="0" fontId="14" fillId="0" borderId="0" xfId="0" applyFont="1" applyAlignment="1" applyProtection="1">
      <alignment horizontal="center"/>
    </xf>
    <xf numFmtId="0" fontId="22" fillId="6" borderId="11" xfId="0" applyFont="1" applyFill="1" applyBorder="1" applyAlignment="1" applyProtection="1">
      <alignment horizontal="center"/>
    </xf>
    <xf numFmtId="0" fontId="22" fillId="6" borderId="12" xfId="0" applyFont="1" applyFill="1" applyBorder="1" applyAlignment="1">
      <alignment horizontal="center"/>
    </xf>
    <xf numFmtId="0" fontId="5" fillId="0" borderId="31" xfId="0" applyFont="1" applyBorder="1" applyAlignment="1">
      <alignment horizontal="center"/>
    </xf>
    <xf numFmtId="0" fontId="76" fillId="0" borderId="0" xfId="0" applyFont="1" applyAlignment="1">
      <alignment horizontal="left" readingOrder="1"/>
    </xf>
    <xf numFmtId="0" fontId="5" fillId="6" borderId="31" xfId="0" applyFont="1" applyFill="1" applyBorder="1" applyAlignment="1">
      <alignment horizontal="center"/>
    </xf>
    <xf numFmtId="0" fontId="44" fillId="7" borderId="0" xfId="0" applyFont="1" applyFill="1" applyBorder="1" applyAlignment="1" applyProtection="1">
      <alignment horizontal="center"/>
    </xf>
    <xf numFmtId="3" fontId="10" fillId="0" borderId="0" xfId="0" applyNumberFormat="1" applyFont="1" applyFill="1" applyBorder="1"/>
    <xf numFmtId="168" fontId="4" fillId="6" borderId="5" xfId="0" applyNumberFormat="1" applyFont="1" applyFill="1" applyBorder="1" applyAlignment="1"/>
    <xf numFmtId="0" fontId="4" fillId="6" borderId="5" xfId="0" applyFont="1" applyFill="1" applyBorder="1" applyAlignment="1"/>
    <xf numFmtId="165" fontId="4" fillId="6" borderId="5" xfId="0" applyNumberFormat="1" applyFont="1" applyFill="1" applyBorder="1" applyAlignment="1"/>
    <xf numFmtId="2" fontId="5" fillId="6" borderId="5" xfId="7" applyNumberFormat="1" applyFont="1" applyFill="1" applyBorder="1" applyAlignment="1"/>
    <xf numFmtId="168" fontId="5" fillId="6" borderId="5" xfId="0" applyNumberFormat="1" applyFont="1" applyFill="1" applyBorder="1" applyAlignment="1"/>
    <xf numFmtId="6" fontId="4" fillId="6" borderId="0" xfId="3" applyNumberFormat="1" applyFont="1" applyFill="1" applyBorder="1" applyAlignment="1"/>
    <xf numFmtId="10" fontId="5" fillId="6" borderId="0" xfId="7" applyNumberFormat="1" applyFont="1" applyFill="1" applyBorder="1" applyAlignment="1"/>
    <xf numFmtId="10" fontId="5" fillId="6" borderId="0" xfId="7" applyNumberFormat="1" applyFont="1" applyFill="1" applyBorder="1" applyAlignment="1">
      <alignment horizontal="right"/>
    </xf>
    <xf numFmtId="6" fontId="5" fillId="6" borderId="0" xfId="3" applyNumberFormat="1" applyFont="1" applyFill="1" applyBorder="1" applyAlignment="1"/>
    <xf numFmtId="6" fontId="5" fillId="6" borderId="0" xfId="3" applyNumberFormat="1" applyFont="1" applyFill="1" applyBorder="1" applyAlignment="1">
      <alignment horizontal="right"/>
    </xf>
    <xf numFmtId="0" fontId="4" fillId="6" borderId="0" xfId="0" applyFont="1" applyFill="1" applyBorder="1" applyAlignment="1">
      <alignment horizontal="center"/>
    </xf>
    <xf numFmtId="9" fontId="5" fillId="0" borderId="6" xfId="7" applyFont="1" applyBorder="1" applyAlignment="1">
      <alignment horizontal="center"/>
    </xf>
    <xf numFmtId="9" fontId="78" fillId="0" borderId="0" xfId="7" applyFont="1" applyBorder="1" applyAlignment="1">
      <alignment horizontal="center"/>
    </xf>
    <xf numFmtId="0" fontId="5" fillId="6" borderId="13" xfId="0" applyFont="1" applyFill="1" applyBorder="1" applyAlignment="1">
      <alignment horizontal="center"/>
    </xf>
    <xf numFmtId="1" fontId="22" fillId="6" borderId="0" xfId="0" applyNumberFormat="1" applyFont="1" applyFill="1" applyBorder="1" applyAlignment="1">
      <alignment horizontal="center"/>
    </xf>
    <xf numFmtId="3" fontId="22" fillId="6" borderId="0" xfId="0" applyNumberFormat="1" applyFont="1" applyFill="1" applyAlignment="1">
      <alignment horizontal="center"/>
    </xf>
    <xf numFmtId="0" fontId="86" fillId="0" borderId="0" xfId="0" applyFont="1"/>
    <xf numFmtId="3" fontId="5" fillId="0" borderId="0" xfId="0" applyNumberFormat="1" applyFont="1" applyBorder="1" applyAlignment="1">
      <alignment horizontal="left"/>
    </xf>
    <xf numFmtId="3" fontId="78" fillId="0" borderId="0" xfId="0" applyNumberFormat="1" applyFont="1" applyBorder="1" applyAlignment="1">
      <alignment horizontal="center"/>
    </xf>
    <xf numFmtId="0" fontId="86" fillId="0" borderId="0" xfId="0" applyNumberFormat="1" applyFont="1"/>
    <xf numFmtId="0" fontId="78" fillId="0" borderId="6" xfId="0" applyFont="1" applyBorder="1" applyAlignment="1">
      <alignment horizontal="center"/>
    </xf>
    <xf numFmtId="3" fontId="4" fillId="0" borderId="9" xfId="0" applyNumberFormat="1" applyFont="1" applyBorder="1"/>
    <xf numFmtId="3" fontId="4" fillId="0" borderId="0" xfId="1" applyNumberFormat="1" applyFont="1" applyBorder="1" applyAlignment="1">
      <alignment horizontal="center"/>
    </xf>
    <xf numFmtId="3" fontId="4" fillId="0" borderId="0" xfId="1" applyNumberFormat="1" applyFont="1" applyBorder="1" applyAlignment="1">
      <alignment horizontal="centerContinuous"/>
    </xf>
    <xf numFmtId="3" fontId="4" fillId="0" borderId="0" xfId="1" applyNumberFormat="1" applyFont="1" applyBorder="1" applyAlignment="1">
      <alignment horizontal="left"/>
    </xf>
    <xf numFmtId="3" fontId="86" fillId="0" borderId="0" xfId="1" applyNumberFormat="1" applyFont="1"/>
    <xf numFmtId="3" fontId="5" fillId="0" borderId="0" xfId="1" applyNumberFormat="1" applyFont="1" applyBorder="1" applyAlignment="1">
      <alignment horizontal="center"/>
    </xf>
    <xf numFmtId="3" fontId="78" fillId="0" borderId="0" xfId="1" applyNumberFormat="1" applyFont="1" applyBorder="1" applyAlignment="1">
      <alignment horizontal="center"/>
    </xf>
    <xf numFmtId="3" fontId="86" fillId="0" borderId="0" xfId="1" applyNumberFormat="1" applyFont="1" applyAlignment="1">
      <alignment horizontal="left" wrapText="1"/>
    </xf>
    <xf numFmtId="0" fontId="86" fillId="0" borderId="0" xfId="0" applyFont="1" applyBorder="1"/>
    <xf numFmtId="0" fontId="86" fillId="0" borderId="0" xfId="0" applyFont="1" applyBorder="1" applyAlignment="1">
      <alignment horizontal="left"/>
    </xf>
    <xf numFmtId="0" fontId="86" fillId="0" borderId="0" xfId="0" applyFont="1" applyBorder="1" applyAlignment="1">
      <alignment horizontal="left" wrapText="1"/>
    </xf>
    <xf numFmtId="0" fontId="4" fillId="0" borderId="50" xfId="0" applyFont="1" applyBorder="1" applyAlignment="1">
      <alignment horizontal="centerContinuous"/>
    </xf>
    <xf numFmtId="0" fontId="4" fillId="0" borderId="51" xfId="0" applyFont="1" applyBorder="1" applyAlignment="1">
      <alignment horizontal="centerContinuous"/>
    </xf>
    <xf numFmtId="0" fontId="86" fillId="0" borderId="51" xfId="0" applyFont="1" applyBorder="1"/>
    <xf numFmtId="0" fontId="86" fillId="0" borderId="52" xfId="0" applyFont="1" applyBorder="1"/>
    <xf numFmtId="0" fontId="86" fillId="0" borderId="46" xfId="0" quotePrefix="1" applyFont="1" applyBorder="1" applyAlignment="1">
      <alignment horizontal="center"/>
    </xf>
    <xf numFmtId="0" fontId="86" fillId="0" borderId="49" xfId="0" applyFont="1" applyBorder="1"/>
    <xf numFmtId="0" fontId="86" fillId="0" borderId="46" xfId="0" quotePrefix="1" applyFont="1" applyBorder="1" applyAlignment="1">
      <alignment horizontal="center" vertical="center"/>
    </xf>
    <xf numFmtId="0" fontId="86" fillId="0" borderId="46" xfId="0" applyFont="1" applyBorder="1"/>
    <xf numFmtId="0" fontId="86" fillId="0" borderId="48" xfId="0" applyFont="1" applyBorder="1"/>
    <xf numFmtId="0" fontId="86" fillId="0" borderId="16" xfId="0" applyFont="1" applyBorder="1"/>
    <xf numFmtId="0" fontId="86" fillId="0" borderId="54" xfId="0" applyFont="1" applyBorder="1"/>
    <xf numFmtId="0" fontId="38" fillId="0" borderId="0" xfId="0" applyFont="1" applyBorder="1" applyAlignment="1">
      <alignment horizontal="centerContinuous"/>
    </xf>
    <xf numFmtId="0" fontId="6" fillId="0" borderId="0" xfId="0" applyFont="1" applyBorder="1" applyAlignment="1">
      <alignment horizontal="center"/>
    </xf>
    <xf numFmtId="0" fontId="87" fillId="0" borderId="0" xfId="0" applyFont="1"/>
    <xf numFmtId="3" fontId="6" fillId="0" borderId="0" xfId="1" applyNumberFormat="1" applyFont="1" applyBorder="1" applyAlignment="1">
      <alignment horizontal="center"/>
    </xf>
    <xf numFmtId="3" fontId="6" fillId="0" borderId="0" xfId="1" applyNumberFormat="1" applyFont="1" applyBorder="1" applyAlignment="1">
      <alignment horizontal="left"/>
    </xf>
    <xf numFmtId="0" fontId="88" fillId="0" borderId="0" xfId="0" applyFont="1" applyBorder="1"/>
    <xf numFmtId="0" fontId="88" fillId="0" borderId="0" xfId="0" applyFont="1" applyBorder="1" applyAlignment="1">
      <alignment horizontal="right"/>
    </xf>
    <xf numFmtId="0" fontId="88" fillId="0" borderId="0" xfId="0" applyFont="1"/>
    <xf numFmtId="0" fontId="89" fillId="0" borderId="0" xfId="0" applyFont="1" applyAlignment="1">
      <alignment vertical="top"/>
    </xf>
    <xf numFmtId="0" fontId="89" fillId="0" borderId="16" xfId="0" applyFont="1" applyBorder="1"/>
    <xf numFmtId="49" fontId="86" fillId="0" borderId="0" xfId="0" applyNumberFormat="1" applyFont="1" applyAlignment="1">
      <alignment horizontal="center"/>
    </xf>
    <xf numFmtId="3" fontId="86" fillId="0" borderId="0" xfId="0" applyNumberFormat="1" applyFont="1" applyAlignment="1">
      <alignment horizontal="center"/>
    </xf>
    <xf numFmtId="16" fontId="4" fillId="0" borderId="0" xfId="0" applyNumberFormat="1" applyFont="1" applyBorder="1" applyAlignment="1"/>
    <xf numFmtId="3" fontId="4" fillId="0" borderId="0" xfId="1" applyNumberFormat="1" applyFont="1" applyBorder="1" applyAlignment="1"/>
    <xf numFmtId="0" fontId="4" fillId="0" borderId="6" xfId="0" applyFont="1" applyBorder="1" applyAlignment="1">
      <alignment horizontal="center"/>
    </xf>
    <xf numFmtId="0" fontId="86" fillId="0" borderId="0" xfId="0" applyFont="1" applyFill="1"/>
    <xf numFmtId="0" fontId="86" fillId="0" borderId="0" xfId="0" applyFont="1" applyBorder="1" applyAlignment="1">
      <alignment horizontal="right"/>
    </xf>
    <xf numFmtId="0" fontId="86" fillId="0" borderId="6" xfId="0" applyFont="1" applyBorder="1"/>
    <xf numFmtId="3" fontId="86" fillId="0" borderId="0" xfId="1" applyNumberFormat="1" applyFont="1" applyFill="1"/>
    <xf numFmtId="3" fontId="4" fillId="0" borderId="0" xfId="1" applyNumberFormat="1" applyFont="1"/>
    <xf numFmtId="9" fontId="90" fillId="0" borderId="0" xfId="7" applyFont="1" applyBorder="1"/>
    <xf numFmtId="9" fontId="90" fillId="0" borderId="5" xfId="7" applyFont="1" applyBorder="1"/>
    <xf numFmtId="0" fontId="4" fillId="0" borderId="13" xfId="0" applyFont="1" applyBorder="1" applyAlignment="1">
      <alignment horizontal="center"/>
    </xf>
    <xf numFmtId="0" fontId="86" fillId="0" borderId="51" xfId="0" applyFont="1" applyBorder="1" applyAlignment="1">
      <alignment horizontal="right"/>
    </xf>
    <xf numFmtId="3" fontId="86" fillId="0" borderId="0" xfId="1" applyNumberFormat="1" applyFont="1" applyBorder="1" applyAlignment="1">
      <alignment horizontal="right"/>
    </xf>
    <xf numFmtId="6" fontId="4" fillId="0" borderId="6" xfId="3" applyNumberFormat="1" applyFont="1" applyFill="1" applyBorder="1" applyAlignment="1">
      <alignment horizontal="right"/>
    </xf>
    <xf numFmtId="6" fontId="89" fillId="0" borderId="16" xfId="3" applyNumberFormat="1" applyFont="1" applyBorder="1" applyAlignment="1">
      <alignment horizontal="right"/>
    </xf>
    <xf numFmtId="0" fontId="86" fillId="0" borderId="0" xfId="0" applyFont="1" applyAlignment="1">
      <alignment horizontal="right"/>
    </xf>
    <xf numFmtId="3" fontId="6" fillId="0" borderId="0" xfId="1" applyNumberFormat="1" applyFont="1" applyBorder="1" applyAlignment="1">
      <alignment horizontal="right"/>
    </xf>
    <xf numFmtId="6" fontId="78" fillId="0" borderId="6" xfId="3" applyNumberFormat="1" applyFont="1" applyFill="1" applyBorder="1" applyAlignment="1">
      <alignment horizontal="right"/>
    </xf>
    <xf numFmtId="8" fontId="4" fillId="0" borderId="6" xfId="3" applyFont="1" applyFill="1" applyBorder="1" applyAlignment="1">
      <alignment horizontal="right"/>
    </xf>
    <xf numFmtId="6" fontId="4" fillId="0" borderId="0" xfId="3" applyNumberFormat="1" applyFont="1" applyFill="1" applyBorder="1" applyAlignment="1">
      <alignment horizontal="right"/>
    </xf>
    <xf numFmtId="6" fontId="78" fillId="0" borderId="6" xfId="3" applyNumberFormat="1" applyFont="1" applyBorder="1" applyAlignment="1">
      <alignment horizontal="right"/>
    </xf>
    <xf numFmtId="6" fontId="78" fillId="0" borderId="0" xfId="3" applyNumberFormat="1" applyFont="1" applyBorder="1" applyAlignment="1">
      <alignment horizontal="right"/>
    </xf>
    <xf numFmtId="0" fontId="38" fillId="0" borderId="0" xfId="0" applyFont="1" applyFill="1" applyBorder="1" applyAlignment="1">
      <alignment horizontal="centerContinuous"/>
    </xf>
    <xf numFmtId="0" fontId="78" fillId="0" borderId="6" xfId="0" quotePrefix="1" applyNumberFormat="1" applyFont="1" applyBorder="1" applyAlignment="1">
      <alignment horizontal="center"/>
    </xf>
    <xf numFmtId="0" fontId="86" fillId="0" borderId="0" xfId="0" applyFont="1" applyFill="1" applyBorder="1"/>
    <xf numFmtId="0" fontId="14" fillId="0" borderId="4" xfId="0" applyFont="1" applyBorder="1" applyAlignment="1">
      <alignment horizontal="center"/>
    </xf>
    <xf numFmtId="0" fontId="14" fillId="0" borderId="10" xfId="0" applyFont="1" applyBorder="1" applyAlignment="1">
      <alignment horizontal="center"/>
    </xf>
    <xf numFmtId="0" fontId="14" fillId="0" borderId="6" xfId="0" applyFont="1" applyBorder="1" applyAlignment="1">
      <alignment horizontal="center"/>
    </xf>
    <xf numFmtId="0" fontId="84" fillId="14" borderId="34" xfId="0" applyFont="1" applyFill="1" applyBorder="1" applyAlignment="1">
      <alignment horizontal="center"/>
    </xf>
    <xf numFmtId="0" fontId="86" fillId="0" borderId="0" xfId="0" applyFont="1" applyBorder="1" applyAlignment="1">
      <alignment horizontal="center"/>
    </xf>
    <xf numFmtId="0" fontId="89" fillId="0" borderId="0" xfId="0" applyFont="1" applyBorder="1" applyAlignment="1">
      <alignment horizontal="left"/>
    </xf>
    <xf numFmtId="0" fontId="78" fillId="0" borderId="0" xfId="0" applyFont="1" applyFill="1" applyBorder="1" applyAlignment="1">
      <alignment horizontal="center" shrinkToFit="1"/>
    </xf>
    <xf numFmtId="6" fontId="91" fillId="0" borderId="6" xfId="3" applyNumberFormat="1" applyFont="1" applyFill="1" applyBorder="1" applyAlignment="1">
      <alignment horizontal="right"/>
    </xf>
    <xf numFmtId="0" fontId="89" fillId="0" borderId="0" xfId="0" applyFont="1" applyFill="1" applyAlignment="1">
      <alignment horizontal="right"/>
    </xf>
    <xf numFmtId="0" fontId="89" fillId="0" borderId="0" xfId="0" applyFont="1" applyBorder="1"/>
    <xf numFmtId="6" fontId="89" fillId="0" borderId="0" xfId="3" applyNumberFormat="1" applyFont="1" applyBorder="1" applyAlignment="1">
      <alignment horizontal="right"/>
    </xf>
    <xf numFmtId="0" fontId="78" fillId="15" borderId="0" xfId="0" applyFont="1" applyFill="1" applyBorder="1" applyAlignment="1">
      <alignment horizontal="center" shrinkToFit="1"/>
    </xf>
    <xf numFmtId="0" fontId="78" fillId="5" borderId="0" xfId="0" applyFont="1" applyFill="1" applyBorder="1" applyAlignment="1" applyProtection="1">
      <alignment horizontal="center" shrinkToFit="1"/>
      <protection locked="0"/>
    </xf>
    <xf numFmtId="0" fontId="5" fillId="6" borderId="2" xfId="0" applyFont="1" applyFill="1" applyBorder="1" applyAlignment="1">
      <alignment horizontal="left"/>
    </xf>
    <xf numFmtId="0" fontId="5" fillId="6" borderId="1" xfId="0" applyFont="1" applyFill="1" applyBorder="1" applyAlignment="1">
      <alignment horizontal="center"/>
    </xf>
    <xf numFmtId="0" fontId="5" fillId="6" borderId="3" xfId="0" applyFont="1" applyFill="1" applyBorder="1" applyAlignment="1">
      <alignment horizontal="right"/>
    </xf>
    <xf numFmtId="0" fontId="5" fillId="6" borderId="11" xfId="0" applyFont="1" applyFill="1" applyBorder="1" applyAlignment="1">
      <alignment horizontal="center"/>
    </xf>
    <xf numFmtId="0" fontId="4" fillId="0" borderId="10" xfId="0" applyFont="1" applyFill="1" applyBorder="1" applyAlignment="1">
      <alignment horizontal="left"/>
    </xf>
    <xf numFmtId="0" fontId="5" fillId="0" borderId="2" xfId="0" applyFont="1" applyFill="1" applyBorder="1" applyAlignment="1">
      <alignment horizontal="left"/>
    </xf>
    <xf numFmtId="9" fontId="5" fillId="0" borderId="1" xfId="7" applyFont="1" applyBorder="1" applyAlignment="1">
      <alignment horizontal="center"/>
    </xf>
    <xf numFmtId="0" fontId="5" fillId="0" borderId="2" xfId="0" applyFont="1" applyFill="1" applyBorder="1" applyAlignment="1">
      <alignment horizontal="center"/>
    </xf>
    <xf numFmtId="0" fontId="5" fillId="0" borderId="3" xfId="0" applyFont="1" applyFill="1" applyBorder="1" applyAlignment="1">
      <alignment horizontal="center"/>
    </xf>
    <xf numFmtId="3" fontId="5" fillId="0" borderId="2" xfId="0" applyNumberFormat="1" applyFont="1" applyFill="1" applyBorder="1" applyAlignment="1">
      <alignment horizontal="center"/>
    </xf>
    <xf numFmtId="3" fontId="5" fillId="0" borderId="1" xfId="0" applyNumberFormat="1" applyFont="1" applyFill="1" applyBorder="1" applyAlignment="1">
      <alignment horizontal="center"/>
    </xf>
    <xf numFmtId="3" fontId="5" fillId="0" borderId="3" xfId="0" applyNumberFormat="1" applyFont="1" applyFill="1" applyBorder="1" applyAlignment="1">
      <alignment horizontal="center"/>
    </xf>
    <xf numFmtId="0" fontId="5" fillId="0" borderId="11" xfId="0" applyFont="1" applyBorder="1" applyAlignment="1">
      <alignment horizontal="center"/>
    </xf>
    <xf numFmtId="0" fontId="78" fillId="0" borderId="1" xfId="0" applyFont="1" applyBorder="1" applyAlignment="1">
      <alignment horizontal="center"/>
    </xf>
    <xf numFmtId="0" fontId="4" fillId="0" borderId="1" xfId="0" applyFont="1" applyBorder="1" applyAlignment="1">
      <alignment horizontal="center"/>
    </xf>
    <xf numFmtId="9" fontId="4" fillId="0" borderId="1" xfId="7" applyFont="1" applyBorder="1" applyAlignment="1">
      <alignment horizontal="center"/>
    </xf>
    <xf numFmtId="1" fontId="4" fillId="0" borderId="1" xfId="0" applyNumberFormat="1" applyFont="1" applyBorder="1" applyAlignment="1">
      <alignment horizontal="center"/>
    </xf>
    <xf numFmtId="9" fontId="78" fillId="0" borderId="1" xfId="7" applyFont="1" applyBorder="1" applyAlignment="1">
      <alignment horizontal="center"/>
    </xf>
    <xf numFmtId="3" fontId="4" fillId="0" borderId="1" xfId="0" applyNumberFormat="1" applyFont="1" applyBorder="1" applyAlignment="1">
      <alignment horizontal="center"/>
    </xf>
    <xf numFmtId="9" fontId="4" fillId="0" borderId="2" xfId="0" applyNumberFormat="1" applyFont="1" applyFill="1" applyBorder="1" applyAlignment="1">
      <alignment horizontal="center"/>
    </xf>
    <xf numFmtId="3" fontId="4" fillId="0" borderId="3" xfId="0" applyNumberFormat="1" applyFont="1" applyFill="1" applyBorder="1" applyAlignment="1">
      <alignment horizontal="center"/>
    </xf>
    <xf numFmtId="4" fontId="4" fillId="0" borderId="2" xfId="0" applyNumberFormat="1" applyFont="1" applyFill="1" applyBorder="1" applyAlignment="1">
      <alignment horizontal="center"/>
    </xf>
    <xf numFmtId="0" fontId="4" fillId="0" borderId="11" xfId="0" applyFont="1" applyBorder="1" applyAlignment="1">
      <alignment horizontal="center"/>
    </xf>
    <xf numFmtId="9" fontId="4" fillId="0" borderId="6" xfId="7" applyFont="1" applyBorder="1" applyAlignment="1">
      <alignment horizontal="center"/>
    </xf>
    <xf numFmtId="1" fontId="4" fillId="0" borderId="6" xfId="0" applyNumberFormat="1" applyFont="1" applyBorder="1" applyAlignment="1">
      <alignment horizontal="center"/>
    </xf>
    <xf numFmtId="9" fontId="78" fillId="0" borderId="6" xfId="7" applyFont="1" applyBorder="1" applyAlignment="1">
      <alignment horizontal="center"/>
    </xf>
    <xf numFmtId="3" fontId="4" fillId="0" borderId="6" xfId="0" applyNumberFormat="1" applyFont="1" applyBorder="1" applyAlignment="1">
      <alignment horizontal="center"/>
    </xf>
    <xf numFmtId="9" fontId="4" fillId="0" borderId="10" xfId="0" applyNumberFormat="1" applyFont="1" applyFill="1" applyBorder="1" applyAlignment="1">
      <alignment horizontal="center"/>
    </xf>
    <xf numFmtId="3" fontId="4" fillId="0" borderId="9" xfId="0" applyNumberFormat="1" applyFont="1" applyFill="1" applyBorder="1" applyAlignment="1">
      <alignment horizontal="center"/>
    </xf>
    <xf numFmtId="4" fontId="4" fillId="0" borderId="10" xfId="0" applyNumberFormat="1" applyFont="1" applyFill="1" applyBorder="1" applyAlignment="1">
      <alignment horizontal="center"/>
    </xf>
    <xf numFmtId="3" fontId="4" fillId="0" borderId="6" xfId="0" applyNumberFormat="1" applyFont="1" applyFill="1" applyBorder="1" applyAlignment="1">
      <alignment horizontal="center"/>
    </xf>
    <xf numFmtId="0" fontId="4" fillId="0" borderId="12" xfId="0" applyFont="1" applyBorder="1" applyAlignment="1">
      <alignment horizontal="center"/>
    </xf>
    <xf numFmtId="14" fontId="4" fillId="0" borderId="11" xfId="0" applyNumberFormat="1" applyFont="1" applyBorder="1" applyAlignment="1">
      <alignment horizontal="center"/>
    </xf>
    <xf numFmtId="10" fontId="4" fillId="0" borderId="12" xfId="7" applyNumberFormat="1" applyFont="1" applyBorder="1" applyAlignment="1">
      <alignment horizontal="center"/>
    </xf>
    <xf numFmtId="4" fontId="14" fillId="4" borderId="0" xfId="0" applyNumberFormat="1" applyFont="1" applyFill="1" applyBorder="1" applyAlignment="1" applyProtection="1">
      <alignment horizontal="right"/>
    </xf>
    <xf numFmtId="0" fontId="14" fillId="4" borderId="0" xfId="0" applyFont="1" applyFill="1" applyBorder="1" applyAlignment="1">
      <alignment horizontal="left"/>
    </xf>
    <xf numFmtId="176" fontId="76" fillId="0" borderId="0" xfId="7" applyNumberFormat="1" applyFont="1" applyFill="1" applyBorder="1" applyAlignment="1"/>
    <xf numFmtId="8" fontId="4" fillId="0" borderId="4" xfId="3" applyFont="1" applyFill="1" applyBorder="1"/>
    <xf numFmtId="8" fontId="4" fillId="0" borderId="0" xfId="3" applyFont="1" applyFill="1" applyBorder="1"/>
    <xf numFmtId="9" fontId="90" fillId="0" borderId="0" xfId="7" applyFont="1" applyFill="1" applyBorder="1"/>
    <xf numFmtId="9" fontId="4" fillId="0" borderId="6" xfId="7" applyFont="1" applyFill="1" applyBorder="1"/>
    <xf numFmtId="8" fontId="4" fillId="0" borderId="6" xfId="3" applyFont="1" applyFill="1" applyBorder="1"/>
    <xf numFmtId="0" fontId="4" fillId="0" borderId="1" xfId="0" applyFont="1" applyBorder="1" applyAlignment="1">
      <alignment horizontal="right"/>
    </xf>
    <xf numFmtId="0" fontId="5" fillId="0" borderId="4" xfId="0" applyFont="1" applyFill="1" applyBorder="1" applyAlignment="1"/>
    <xf numFmtId="4" fontId="5" fillId="0" borderId="0" xfId="0" applyNumberFormat="1" applyFont="1" applyBorder="1" applyAlignment="1">
      <alignment horizontal="right"/>
    </xf>
    <xf numFmtId="4" fontId="5" fillId="0" borderId="0" xfId="0" applyNumberFormat="1" applyFont="1" applyFill="1" applyBorder="1" applyAlignment="1">
      <alignment horizontal="right"/>
    </xf>
    <xf numFmtId="0" fontId="4" fillId="0" borderId="10" xfId="0" applyFont="1" applyBorder="1" applyAlignment="1">
      <alignment horizontal="left"/>
    </xf>
    <xf numFmtId="0" fontId="14" fillId="0" borderId="0" xfId="0" applyFont="1" applyFill="1" applyAlignment="1">
      <alignment horizontal="right"/>
    </xf>
    <xf numFmtId="10" fontId="4" fillId="0" borderId="0" xfId="7" applyNumberFormat="1" applyFont="1" applyFill="1" applyBorder="1" applyProtection="1"/>
    <xf numFmtId="0" fontId="5" fillId="6" borderId="16" xfId="0" applyFont="1" applyFill="1" applyBorder="1" applyAlignment="1">
      <alignment horizontal="center" wrapText="1" shrinkToFit="1"/>
    </xf>
    <xf numFmtId="0" fontId="14" fillId="6" borderId="13" xfId="0" applyFont="1" applyFill="1" applyBorder="1" applyAlignment="1">
      <alignment horizontal="center"/>
    </xf>
    <xf numFmtId="0" fontId="92" fillId="0" borderId="5" xfId="0" applyFont="1" applyBorder="1"/>
    <xf numFmtId="8" fontId="72" fillId="0" borderId="0" xfId="3" applyFont="1" applyFill="1" applyBorder="1"/>
    <xf numFmtId="168" fontId="76" fillId="4" borderId="0" xfId="1" applyNumberFormat="1" applyFont="1" applyFill="1" applyBorder="1" applyAlignment="1" applyProtection="1">
      <alignment horizontal="right"/>
    </xf>
    <xf numFmtId="3" fontId="14" fillId="0" borderId="0" xfId="0" applyNumberFormat="1" applyFont="1" applyFill="1" applyBorder="1"/>
    <xf numFmtId="0" fontId="93" fillId="0" borderId="13" xfId="0" applyFont="1" applyBorder="1"/>
    <xf numFmtId="0" fontId="93" fillId="0" borderId="0" xfId="0" applyFont="1" applyBorder="1" applyAlignment="1">
      <alignment horizontal="centerContinuous"/>
    </xf>
    <xf numFmtId="0" fontId="93" fillId="0" borderId="0" xfId="0" applyFont="1" applyBorder="1"/>
    <xf numFmtId="0" fontId="93" fillId="0" borderId="0" xfId="0" applyFont="1" applyBorder="1" applyAlignment="1"/>
    <xf numFmtId="0" fontId="94" fillId="0" borderId="6" xfId="0" applyFont="1" applyBorder="1" applyAlignment="1"/>
    <xf numFmtId="0" fontId="93" fillId="0" borderId="6" xfId="0" applyFont="1" applyBorder="1" applyAlignment="1"/>
    <xf numFmtId="3" fontId="93" fillId="0" borderId="0" xfId="0" applyNumberFormat="1" applyFont="1" applyFill="1" applyBorder="1"/>
    <xf numFmtId="3" fontId="93" fillId="0" borderId="6" xfId="0" applyNumberFormat="1" applyFont="1" applyFill="1" applyBorder="1"/>
    <xf numFmtId="3" fontId="93" fillId="0" borderId="9" xfId="0" applyNumberFormat="1" applyFont="1" applyBorder="1" applyAlignment="1">
      <alignment horizontal="center"/>
    </xf>
    <xf numFmtId="3" fontId="93" fillId="0" borderId="6" xfId="0" applyNumberFormat="1" applyFont="1" applyBorder="1" applyAlignment="1"/>
    <xf numFmtId="3" fontId="93" fillId="0" borderId="0" xfId="0" applyNumberFormat="1" applyFont="1" applyBorder="1"/>
    <xf numFmtId="3" fontId="93" fillId="2" borderId="0" xfId="0" applyNumberFormat="1" applyFont="1" applyFill="1" applyBorder="1"/>
    <xf numFmtId="3" fontId="93" fillId="0" borderId="6" xfId="0" applyNumberFormat="1" applyFont="1" applyBorder="1"/>
    <xf numFmtId="0" fontId="93" fillId="0" borderId="6" xfId="0" applyFont="1" applyBorder="1"/>
    <xf numFmtId="0" fontId="73" fillId="6" borderId="7" xfId="0" applyFont="1" applyFill="1" applyBorder="1"/>
    <xf numFmtId="3" fontId="4" fillId="0" borderId="0" xfId="1" applyNumberFormat="1" applyFont="1" applyFill="1" applyBorder="1" applyAlignment="1"/>
    <xf numFmtId="3" fontId="93" fillId="0" borderId="0" xfId="0" applyNumberFormat="1" applyFont="1" applyBorder="1" applyAlignment="1"/>
    <xf numFmtId="0" fontId="17" fillId="0" borderId="0" xfId="0" applyFont="1" applyAlignment="1">
      <alignment vertical="center" wrapText="1"/>
    </xf>
    <xf numFmtId="0" fontId="76" fillId="0" borderId="0" xfId="0" applyFont="1" applyFill="1" applyBorder="1" applyAlignment="1">
      <alignment horizontal="center"/>
    </xf>
    <xf numFmtId="3" fontId="5" fillId="0" borderId="0" xfId="0" applyNumberFormat="1" applyFont="1" applyFill="1" applyBorder="1" applyAlignment="1"/>
    <xf numFmtId="169" fontId="16" fillId="4" borderId="0" xfId="3" applyNumberFormat="1" applyFont="1" applyFill="1" applyBorder="1" applyAlignment="1" applyProtection="1">
      <alignment horizontal="right"/>
    </xf>
    <xf numFmtId="172" fontId="14" fillId="4" borderId="1" xfId="1" applyNumberFormat="1" applyFont="1" applyFill="1" applyBorder="1" applyAlignment="1">
      <alignment horizontal="center" vertical="center"/>
    </xf>
    <xf numFmtId="172" fontId="14" fillId="4" borderId="3" xfId="1" applyNumberFormat="1" applyFont="1" applyFill="1" applyBorder="1" applyAlignment="1">
      <alignment horizontal="center" vertical="center"/>
    </xf>
    <xf numFmtId="172" fontId="14" fillId="4" borderId="0" xfId="1" applyNumberFormat="1" applyFont="1" applyFill="1" applyBorder="1" applyAlignment="1">
      <alignment horizontal="center" vertical="center"/>
    </xf>
    <xf numFmtId="172" fontId="14" fillId="4" borderId="5" xfId="1" applyNumberFormat="1" applyFont="1" applyFill="1" applyBorder="1" applyAlignment="1">
      <alignment horizontal="center" vertical="center"/>
    </xf>
    <xf numFmtId="172" fontId="14" fillId="4" borderId="0" xfId="0" applyNumberFormat="1" applyFont="1" applyFill="1" applyBorder="1" applyAlignment="1">
      <alignment horizontal="center" vertical="center" wrapText="1"/>
    </xf>
    <xf numFmtId="172" fontId="14" fillId="4" borderId="5" xfId="0" quotePrefix="1" applyNumberFormat="1" applyFont="1" applyFill="1" applyBorder="1" applyAlignment="1">
      <alignment horizontal="center" vertical="center" wrapText="1"/>
    </xf>
    <xf numFmtId="172" fontId="14" fillId="4" borderId="6" xfId="1" applyNumberFormat="1" applyFont="1" applyFill="1" applyBorder="1" applyAlignment="1">
      <alignment horizontal="center" vertical="center"/>
    </xf>
    <xf numFmtId="172" fontId="14" fillId="4" borderId="9" xfId="1" applyNumberFormat="1" applyFont="1" applyFill="1" applyBorder="1" applyAlignment="1">
      <alignment horizontal="center" vertical="center"/>
    </xf>
    <xf numFmtId="0" fontId="95" fillId="4" borderId="0" xfId="6" applyFont="1" applyFill="1"/>
    <xf numFmtId="0" fontId="24" fillId="4" borderId="0" xfId="6" applyFont="1" applyFill="1"/>
    <xf numFmtId="0" fontId="25" fillId="4" borderId="0" xfId="6" applyFont="1" applyFill="1"/>
    <xf numFmtId="0" fontId="95" fillId="16" borderId="0" xfId="6" applyFont="1" applyFill="1"/>
    <xf numFmtId="0" fontId="24" fillId="16" borderId="0" xfId="6" applyFont="1" applyFill="1"/>
    <xf numFmtId="0" fontId="25" fillId="16" borderId="0" xfId="6" applyFont="1" applyFill="1"/>
    <xf numFmtId="0" fontId="96" fillId="16" borderId="0" xfId="6" applyFont="1" applyFill="1" applyBorder="1" applyAlignment="1">
      <alignment vertical="top"/>
    </xf>
    <xf numFmtId="0" fontId="95" fillId="16" borderId="0" xfId="6" applyFont="1" applyFill="1" applyBorder="1" applyAlignment="1">
      <alignment vertical="top"/>
    </xf>
    <xf numFmtId="0" fontId="25" fillId="16" borderId="0" xfId="6" applyFont="1" applyFill="1" applyBorder="1" applyAlignment="1">
      <alignment vertical="top"/>
    </xf>
    <xf numFmtId="0" fontId="25" fillId="0" borderId="0" xfId="6" applyFont="1" applyFill="1" applyBorder="1" applyAlignment="1">
      <alignment vertical="top"/>
    </xf>
    <xf numFmtId="0" fontId="15" fillId="11" borderId="10" xfId="6" applyFont="1" applyFill="1" applyBorder="1" applyAlignment="1">
      <alignment vertical="center"/>
    </xf>
    <xf numFmtId="0" fontId="12" fillId="11" borderId="6" xfId="6" applyFont="1" applyFill="1" applyBorder="1" applyAlignment="1">
      <alignment vertical="center"/>
    </xf>
    <xf numFmtId="0" fontId="96" fillId="16" borderId="0" xfId="6" applyFont="1" applyFill="1" applyBorder="1" applyAlignment="1">
      <alignment vertical="center"/>
    </xf>
    <xf numFmtId="0" fontId="95" fillId="16" borderId="0" xfId="6" applyFont="1" applyFill="1" applyBorder="1" applyAlignment="1">
      <alignment vertical="center"/>
    </xf>
    <xf numFmtId="0" fontId="25" fillId="16" borderId="0" xfId="6" applyFont="1" applyFill="1" applyBorder="1" applyAlignment="1">
      <alignment vertical="center"/>
    </xf>
    <xf numFmtId="0" fontId="25" fillId="0" borderId="0" xfId="6" applyFont="1" applyFill="1" applyBorder="1" applyAlignment="1">
      <alignment vertical="center"/>
    </xf>
    <xf numFmtId="0" fontId="15" fillId="11" borderId="2" xfId="6" applyFont="1" applyFill="1" applyBorder="1" applyAlignment="1">
      <alignment horizontal="left"/>
    </xf>
    <xf numFmtId="0" fontId="15" fillId="11" borderId="1" xfId="6" applyFont="1" applyFill="1" applyBorder="1" applyAlignment="1">
      <alignment horizontal="center"/>
    </xf>
    <xf numFmtId="0" fontId="15" fillId="11" borderId="3" xfId="6" applyFont="1" applyFill="1" applyBorder="1" applyAlignment="1">
      <alignment horizontal="center"/>
    </xf>
    <xf numFmtId="0" fontId="9" fillId="16" borderId="10" xfId="6" applyFont="1" applyFill="1" applyBorder="1" applyAlignment="1">
      <alignment horizontal="left"/>
    </xf>
    <xf numFmtId="0" fontId="9" fillId="16" borderId="6" xfId="6" applyFont="1" applyFill="1" applyBorder="1" applyAlignment="1">
      <alignment horizontal="left"/>
    </xf>
    <xf numFmtId="0" fontId="14" fillId="16" borderId="6" xfId="6" applyFont="1" applyFill="1" applyBorder="1" applyAlignment="1">
      <alignment horizontal="center"/>
    </xf>
    <xf numFmtId="3" fontId="14" fillId="16" borderId="6" xfId="6" applyNumberFormat="1" applyFont="1" applyFill="1" applyBorder="1" applyAlignment="1">
      <alignment horizontal="center"/>
    </xf>
    <xf numFmtId="3" fontId="14" fillId="16" borderId="9" xfId="6" applyNumberFormat="1" applyFont="1" applyFill="1" applyBorder="1" applyAlignment="1">
      <alignment horizontal="center"/>
    </xf>
    <xf numFmtId="3" fontId="97" fillId="4" borderId="0" xfId="6" applyNumberFormat="1" applyFont="1" applyFill="1" applyBorder="1" applyAlignment="1">
      <alignment horizontal="center"/>
    </xf>
    <xf numFmtId="0" fontId="97" fillId="4" borderId="0" xfId="6" applyFont="1" applyFill="1" applyBorder="1" applyAlignment="1">
      <alignment horizontal="center"/>
    </xf>
    <xf numFmtId="169" fontId="17" fillId="11" borderId="0" xfId="6" applyNumberFormat="1" applyFont="1" applyFill="1" applyBorder="1" applyAlignment="1">
      <alignment horizontal="center" vertical="center"/>
    </xf>
    <xf numFmtId="0" fontId="28" fillId="11" borderId="0" xfId="6" applyFont="1" applyFill="1" applyBorder="1" applyAlignment="1">
      <alignment horizontal="right" vertical="center"/>
    </xf>
    <xf numFmtId="0" fontId="12" fillId="11" borderId="0" xfId="6" applyFont="1" applyFill="1" applyBorder="1" applyAlignment="1"/>
    <xf numFmtId="0" fontId="12" fillId="11" borderId="0" xfId="6" applyFont="1" applyFill="1" applyBorder="1" applyAlignment="1">
      <alignment vertical="center"/>
    </xf>
    <xf numFmtId="0" fontId="12" fillId="11" borderId="5" xfId="6" applyFont="1" applyFill="1" applyBorder="1" applyAlignment="1">
      <alignment vertical="center"/>
    </xf>
    <xf numFmtId="0" fontId="4" fillId="11" borderId="0" xfId="6" applyFont="1" applyFill="1" applyBorder="1" applyAlignment="1">
      <alignment horizontal="left" vertical="center"/>
    </xf>
    <xf numFmtId="0" fontId="4" fillId="11" borderId="0" xfId="6" applyFont="1" applyFill="1" applyBorder="1" applyAlignment="1"/>
    <xf numFmtId="169" fontId="11" fillId="11" borderId="0" xfId="6" applyNumberFormat="1" applyFont="1" applyFill="1" applyBorder="1" applyAlignment="1">
      <alignment horizontal="left" vertical="center"/>
    </xf>
    <xf numFmtId="0" fontId="4" fillId="11" borderId="5" xfId="6" applyFont="1" applyFill="1" applyBorder="1" applyAlignment="1">
      <alignment vertical="center"/>
    </xf>
    <xf numFmtId="0" fontId="28" fillId="11" borderId="10" xfId="6" applyFont="1" applyFill="1" applyBorder="1" applyAlignment="1">
      <alignment horizontal="center" vertical="center"/>
    </xf>
    <xf numFmtId="0" fontId="28" fillId="11" borderId="6" xfId="6" applyFont="1" applyFill="1" applyBorder="1" applyAlignment="1">
      <alignment horizontal="right" vertical="center"/>
    </xf>
    <xf numFmtId="0" fontId="4" fillId="11" borderId="6" xfId="6" applyFont="1" applyFill="1" applyBorder="1" applyAlignment="1">
      <alignment vertical="center"/>
    </xf>
    <xf numFmtId="164" fontId="95" fillId="4" borderId="0" xfId="2" applyNumberFormat="1" applyFont="1" applyFill="1" applyBorder="1" applyAlignment="1">
      <alignment horizontal="center"/>
    </xf>
    <xf numFmtId="0" fontId="95" fillId="4" borderId="0" xfId="6" applyFont="1" applyFill="1" applyBorder="1"/>
    <xf numFmtId="0" fontId="10" fillId="4" borderId="3" xfId="6" applyFont="1" applyFill="1" applyBorder="1" applyAlignment="1">
      <alignment horizontal="center" wrapText="1"/>
    </xf>
    <xf numFmtId="0" fontId="14" fillId="4" borderId="2" xfId="6" applyFont="1" applyFill="1" applyBorder="1" applyAlignment="1"/>
    <xf numFmtId="172" fontId="14" fillId="4" borderId="3" xfId="2" applyNumberFormat="1" applyFont="1" applyFill="1" applyBorder="1" applyAlignment="1">
      <alignment horizontal="center" vertical="center"/>
    </xf>
    <xf numFmtId="172" fontId="96" fillId="4" borderId="0" xfId="2" applyNumberFormat="1" applyFont="1" applyFill="1" applyBorder="1" applyAlignment="1">
      <alignment horizontal="right"/>
    </xf>
    <xf numFmtId="39" fontId="96" fillId="4" borderId="0" xfId="2" applyNumberFormat="1" applyFont="1" applyFill="1" applyBorder="1" applyAlignment="1">
      <alignment horizontal="right"/>
    </xf>
    <xf numFmtId="164" fontId="96" fillId="4" borderId="0" xfId="2" applyNumberFormat="1" applyFont="1" applyFill="1" applyBorder="1" applyAlignment="1">
      <alignment horizontal="left"/>
    </xf>
    <xf numFmtId="0" fontId="14" fillId="4" borderId="4" xfId="6" applyFont="1" applyFill="1" applyBorder="1" applyAlignment="1"/>
    <xf numFmtId="172" fontId="14" fillId="4" borderId="5" xfId="2" applyNumberFormat="1" applyFont="1" applyFill="1" applyBorder="1" applyAlignment="1">
      <alignment horizontal="center" vertical="center"/>
    </xf>
    <xf numFmtId="172" fontId="96" fillId="4" borderId="0" xfId="6" applyNumberFormat="1" applyFont="1" applyFill="1"/>
    <xf numFmtId="0" fontId="96" fillId="4" borderId="0" xfId="6" applyFont="1" applyFill="1" applyAlignment="1">
      <alignment horizontal="right"/>
    </xf>
    <xf numFmtId="0" fontId="17" fillId="4" borderId="4" xfId="6" applyFont="1" applyFill="1" applyBorder="1" applyAlignment="1">
      <alignment horizontal="center" vertical="top" wrapText="1"/>
    </xf>
    <xf numFmtId="172" fontId="14" fillId="4" borderId="5" xfId="6" quotePrefix="1" applyNumberFormat="1" applyFont="1" applyFill="1" applyBorder="1" applyAlignment="1">
      <alignment horizontal="center" vertical="center" wrapText="1"/>
    </xf>
    <xf numFmtId="37" fontId="95" fillId="4" borderId="0" xfId="6" applyNumberFormat="1" applyFont="1" applyFill="1" applyAlignment="1">
      <alignment horizontal="center"/>
    </xf>
    <xf numFmtId="0" fontId="15" fillId="4" borderId="10" xfId="6" applyFont="1" applyFill="1" applyBorder="1" applyAlignment="1"/>
    <xf numFmtId="172" fontId="14" fillId="4" borderId="9" xfId="2" applyNumberFormat="1" applyFont="1" applyFill="1" applyBorder="1" applyAlignment="1">
      <alignment horizontal="center" vertical="center"/>
    </xf>
    <xf numFmtId="0" fontId="14" fillId="4" borderId="0" xfId="6" applyFont="1" applyFill="1" applyAlignment="1">
      <alignment horizontal="right"/>
    </xf>
    <xf numFmtId="0" fontId="14" fillId="4" borderId="0" xfId="6" quotePrefix="1" applyFont="1" applyFill="1" applyBorder="1" applyAlignment="1">
      <alignment horizontal="left"/>
    </xf>
    <xf numFmtId="42" fontId="82" fillId="16" borderId="72" xfId="4" applyNumberFormat="1" applyFont="1" applyFill="1" applyBorder="1" applyAlignment="1"/>
    <xf numFmtId="42" fontId="82" fillId="11" borderId="74" xfId="4" applyNumberFormat="1" applyFont="1" applyFill="1" applyBorder="1" applyAlignment="1"/>
    <xf numFmtId="3" fontId="14" fillId="4" borderId="0" xfId="6" applyNumberFormat="1" applyFont="1" applyFill="1" applyBorder="1" applyAlignment="1">
      <alignment horizontal="right"/>
    </xf>
    <xf numFmtId="0" fontId="98" fillId="4" borderId="0" xfId="6" applyFont="1" applyFill="1" applyAlignment="1">
      <alignment vertical="top"/>
    </xf>
    <xf numFmtId="0" fontId="33" fillId="4" borderId="0" xfId="6" applyFont="1" applyFill="1" applyAlignment="1">
      <alignment vertical="top"/>
    </xf>
    <xf numFmtId="0" fontId="34" fillId="4" borderId="0" xfId="6" applyFont="1" applyFill="1" applyAlignment="1">
      <alignment vertical="top"/>
    </xf>
    <xf numFmtId="44" fontId="14" fillId="4" borderId="0" xfId="2" applyNumberFormat="1" applyFont="1" applyFill="1" applyBorder="1" applyAlignment="1"/>
    <xf numFmtId="44" fontId="14" fillId="4" borderId="0" xfId="6" applyNumberFormat="1" applyFont="1" applyFill="1" applyBorder="1" applyAlignment="1"/>
    <xf numFmtId="0" fontId="95" fillId="4" borderId="0" xfId="6" applyFont="1" applyFill="1" applyAlignment="1"/>
    <xf numFmtId="0" fontId="24" fillId="4" borderId="0" xfId="6" applyFont="1" applyFill="1" applyAlignment="1"/>
    <xf numFmtId="0" fontId="25" fillId="4" borderId="0" xfId="6" applyFont="1" applyFill="1" applyAlignment="1"/>
    <xf numFmtId="0" fontId="15" fillId="4" borderId="0" xfId="6" applyFont="1" applyFill="1" applyAlignment="1">
      <alignment horizontal="right"/>
    </xf>
    <xf numFmtId="44" fontId="15" fillId="4" borderId="40" xfId="6" applyNumberFormat="1" applyFont="1" applyFill="1" applyBorder="1" applyAlignment="1"/>
    <xf numFmtId="168" fontId="15" fillId="4" borderId="0" xfId="6" applyNumberFormat="1" applyFont="1" applyFill="1" applyBorder="1" applyAlignment="1">
      <alignment horizontal="right"/>
    </xf>
    <xf numFmtId="49" fontId="17" fillId="0" borderId="0" xfId="6" applyNumberFormat="1" applyFont="1" applyFill="1" applyBorder="1" applyAlignment="1">
      <alignment horizontal="center"/>
    </xf>
    <xf numFmtId="0" fontId="34" fillId="4" borderId="16" xfId="6" applyFont="1" applyFill="1" applyBorder="1" applyAlignment="1">
      <alignment vertical="top"/>
    </xf>
    <xf numFmtId="0" fontId="15" fillId="4" borderId="0" xfId="6" applyFont="1" applyFill="1" applyAlignment="1">
      <alignment horizontal="left"/>
    </xf>
    <xf numFmtId="0" fontId="26" fillId="4" borderId="0" xfId="6" applyFont="1" applyFill="1" applyAlignment="1"/>
    <xf numFmtId="0" fontId="26" fillId="4" borderId="0" xfId="6" applyFont="1" applyFill="1" applyAlignment="1">
      <alignment horizontal="center"/>
    </xf>
    <xf numFmtId="0" fontId="15" fillId="4" borderId="0" xfId="6" quotePrefix="1" applyFont="1" applyFill="1" applyAlignment="1"/>
    <xf numFmtId="0" fontId="35" fillId="4" borderId="0" xfId="6" applyFont="1" applyFill="1" applyAlignment="1"/>
    <xf numFmtId="0" fontId="4" fillId="4" borderId="0" xfId="6" applyFont="1" applyFill="1" applyAlignment="1">
      <alignment horizontal="right"/>
    </xf>
    <xf numFmtId="0" fontId="15" fillId="4" borderId="0" xfId="6" quotePrefix="1" applyFont="1" applyFill="1" applyAlignment="1">
      <alignment horizontal="left"/>
    </xf>
    <xf numFmtId="0" fontId="14" fillId="4" borderId="0" xfId="6" applyFont="1" applyFill="1" applyAlignment="1"/>
    <xf numFmtId="0" fontId="37" fillId="4" borderId="0" xfId="5" quotePrefix="1" applyFont="1" applyFill="1" applyAlignment="1" applyProtection="1"/>
    <xf numFmtId="0" fontId="38" fillId="4" borderId="0" xfId="5" quotePrefix="1" applyFont="1" applyFill="1" applyAlignment="1" applyProtection="1">
      <alignment horizontal="left"/>
    </xf>
    <xf numFmtId="0" fontId="38" fillId="4" borderId="0" xfId="6" quotePrefix="1" applyFont="1" applyFill="1" applyAlignment="1"/>
    <xf numFmtId="0" fontId="38" fillId="4" borderId="0" xfId="6" applyFont="1" applyFill="1" applyAlignment="1"/>
    <xf numFmtId="0" fontId="38" fillId="4" borderId="0" xfId="6" quotePrefix="1" applyFont="1" applyFill="1" applyAlignment="1">
      <alignment horizontal="left"/>
    </xf>
    <xf numFmtId="0" fontId="95" fillId="0" borderId="0" xfId="6" applyFont="1" applyFill="1" applyBorder="1" applyAlignment="1">
      <alignment vertical="top"/>
    </xf>
    <xf numFmtId="0" fontId="96" fillId="16" borderId="0" xfId="6" applyFont="1" applyFill="1" applyBorder="1" applyAlignment="1"/>
    <xf numFmtId="0" fontId="95" fillId="16" borderId="0" xfId="6" applyFont="1" applyFill="1" applyBorder="1" applyAlignment="1"/>
    <xf numFmtId="0" fontId="95" fillId="0" borderId="0" xfId="6" applyFont="1" applyFill="1" applyBorder="1" applyAlignment="1"/>
    <xf numFmtId="0" fontId="25" fillId="0" borderId="0" xfId="6" applyFont="1" applyFill="1" applyBorder="1" applyAlignment="1"/>
    <xf numFmtId="0" fontId="96" fillId="4" borderId="0" xfId="6" applyFont="1" applyFill="1" applyBorder="1"/>
    <xf numFmtId="0" fontId="96" fillId="4" borderId="0" xfId="6" applyFont="1" applyFill="1" applyBorder="1" applyAlignment="1">
      <alignment vertical="top"/>
    </xf>
    <xf numFmtId="0" fontId="95" fillId="4" borderId="0" xfId="6" applyFont="1" applyFill="1" applyAlignment="1">
      <alignment vertical="top"/>
    </xf>
    <xf numFmtId="0" fontId="25" fillId="4" borderId="0" xfId="6" applyFont="1" applyFill="1" applyAlignment="1">
      <alignment vertical="top"/>
    </xf>
    <xf numFmtId="0" fontId="95" fillId="16" borderId="0" xfId="6" applyFont="1" applyFill="1" applyAlignment="1">
      <alignment vertical="top"/>
    </xf>
    <xf numFmtId="0" fontId="95" fillId="0" borderId="0" xfId="6" applyFont="1" applyFill="1" applyAlignment="1">
      <alignment vertical="top"/>
    </xf>
    <xf numFmtId="0" fontId="25" fillId="0" borderId="0" xfId="6" applyFont="1" applyFill="1" applyAlignment="1">
      <alignment vertical="top"/>
    </xf>
    <xf numFmtId="177" fontId="82" fillId="16" borderId="76" xfId="4" quotePrefix="1" applyNumberFormat="1" applyFont="1" applyFill="1" applyBorder="1" applyAlignment="1">
      <alignment horizontal="right"/>
    </xf>
    <xf numFmtId="177" fontId="82" fillId="11" borderId="74" xfId="4" applyNumberFormat="1" applyFont="1" applyFill="1" applyBorder="1" applyAlignment="1">
      <alignment horizontal="left"/>
    </xf>
    <xf numFmtId="177" fontId="82" fillId="16" borderId="0" xfId="4" applyNumberFormat="1" applyFont="1" applyFill="1" applyBorder="1" applyAlignment="1">
      <alignment horizontal="right"/>
    </xf>
    <xf numFmtId="169" fontId="82" fillId="11" borderId="74" xfId="4" applyNumberFormat="1" applyFont="1" applyFill="1" applyBorder="1" applyAlignment="1">
      <alignment horizontal="right"/>
    </xf>
    <xf numFmtId="44" fontId="14" fillId="4" borderId="0" xfId="2" applyNumberFormat="1" applyFont="1" applyFill="1" applyBorder="1" applyAlignment="1">
      <alignment horizontal="left"/>
    </xf>
    <xf numFmtId="44" fontId="14" fillId="4" borderId="0" xfId="6" applyNumberFormat="1" applyFont="1" applyFill="1" applyBorder="1" applyAlignment="1">
      <alignment horizontal="left"/>
    </xf>
    <xf numFmtId="44" fontId="31" fillId="4" borderId="0" xfId="6" applyNumberFormat="1" applyFont="1" applyFill="1" applyBorder="1" applyAlignment="1">
      <alignment horizontal="left"/>
    </xf>
    <xf numFmtId="44" fontId="15" fillId="4" borderId="40" xfId="6" applyNumberFormat="1" applyFont="1" applyFill="1" applyBorder="1" applyAlignment="1">
      <alignment horizontal="left"/>
    </xf>
    <xf numFmtId="0" fontId="39" fillId="4" borderId="0" xfId="6" quotePrefix="1" applyFont="1" applyFill="1"/>
    <xf numFmtId="0" fontId="12" fillId="11" borderId="0" xfId="6" quotePrefix="1" applyFont="1" applyFill="1" applyBorder="1" applyAlignment="1">
      <alignment horizontal="left"/>
    </xf>
    <xf numFmtId="0" fontId="4" fillId="11" borderId="0" xfId="6" quotePrefix="1" applyFont="1" applyFill="1" applyBorder="1" applyAlignment="1">
      <alignment horizontal="left"/>
    </xf>
    <xf numFmtId="177" fontId="82" fillId="11" borderId="72" xfId="4" applyNumberFormat="1" applyFont="1" applyFill="1" applyBorder="1" applyAlignment="1">
      <alignment horizontal="left"/>
    </xf>
    <xf numFmtId="177" fontId="82" fillId="16" borderId="72" xfId="4" applyNumberFormat="1" applyFont="1" applyFill="1" applyBorder="1" applyAlignment="1">
      <alignment horizontal="left"/>
    </xf>
    <xf numFmtId="44" fontId="31" fillId="4" borderId="0" xfId="6" applyNumberFormat="1" applyFont="1" applyFill="1" applyBorder="1" applyAlignment="1"/>
    <xf numFmtId="44" fontId="14" fillId="17" borderId="0" xfId="2" applyNumberFormat="1" applyFont="1" applyFill="1" applyBorder="1" applyAlignment="1">
      <alignment horizontal="left"/>
    </xf>
    <xf numFmtId="44" fontId="14" fillId="17" borderId="0" xfId="6" applyNumberFormat="1" applyFont="1" applyFill="1" applyBorder="1" applyAlignment="1"/>
    <xf numFmtId="44" fontId="14" fillId="17" borderId="0" xfId="2" applyNumberFormat="1" applyFont="1" applyFill="1" applyBorder="1" applyAlignment="1"/>
    <xf numFmtId="3" fontId="93" fillId="0" borderId="6" xfId="0" applyNumberFormat="1" applyFont="1" applyFill="1" applyBorder="1" applyAlignment="1"/>
    <xf numFmtId="0" fontId="46" fillId="0" borderId="0" xfId="0" applyFont="1" applyProtection="1"/>
    <xf numFmtId="0" fontId="46" fillId="0" borderId="0" xfId="0" applyFont="1" applyBorder="1" applyProtection="1"/>
    <xf numFmtId="0" fontId="46" fillId="7" borderId="19" xfId="0" applyFont="1" applyFill="1" applyBorder="1" applyProtection="1"/>
    <xf numFmtId="0" fontId="46" fillId="0" borderId="0" xfId="0" applyFont="1" applyFill="1" applyBorder="1" applyProtection="1"/>
    <xf numFmtId="6" fontId="46" fillId="7" borderId="5" xfId="3" applyNumberFormat="1" applyFont="1" applyFill="1" applyBorder="1" applyAlignment="1" applyProtection="1">
      <alignment horizontal="right"/>
    </xf>
    <xf numFmtId="0" fontId="22" fillId="0" borderId="0" xfId="0" applyFont="1" applyFill="1" applyBorder="1" applyAlignment="1" applyProtection="1">
      <alignment horizontal="left"/>
      <protection locked="0"/>
    </xf>
    <xf numFmtId="0" fontId="22" fillId="0" borderId="0" xfId="0" applyFont="1" applyFill="1" applyBorder="1" applyAlignment="1" applyProtection="1">
      <alignment horizontal="left"/>
    </xf>
    <xf numFmtId="169" fontId="46" fillId="7" borderId="5" xfId="0" applyNumberFormat="1" applyFont="1" applyFill="1" applyBorder="1" applyAlignment="1" applyProtection="1">
      <alignment horizontal="right"/>
    </xf>
    <xf numFmtId="6" fontId="46" fillId="0" borderId="0" xfId="3" applyNumberFormat="1" applyFont="1" applyFill="1" applyBorder="1" applyAlignment="1" applyProtection="1">
      <alignment horizontal="right"/>
    </xf>
    <xf numFmtId="0" fontId="69" fillId="0" borderId="0" xfId="5" applyFont="1" applyBorder="1" applyAlignment="1" applyProtection="1"/>
    <xf numFmtId="6" fontId="22" fillId="7" borderId="9" xfId="3" applyNumberFormat="1" applyFont="1" applyFill="1" applyBorder="1" applyAlignment="1" applyProtection="1">
      <alignment horizontal="right"/>
    </xf>
    <xf numFmtId="6" fontId="22" fillId="0" borderId="0" xfId="3" applyNumberFormat="1" applyFont="1" applyFill="1" applyBorder="1" applyAlignment="1" applyProtection="1">
      <alignment horizontal="right"/>
    </xf>
    <xf numFmtId="0" fontId="22" fillId="0" borderId="0" xfId="0" applyFont="1" applyBorder="1" applyProtection="1"/>
    <xf numFmtId="169" fontId="22" fillId="7" borderId="9" xfId="0" applyNumberFormat="1" applyFont="1" applyFill="1" applyBorder="1" applyAlignment="1" applyProtection="1">
      <alignment horizontal="right"/>
    </xf>
    <xf numFmtId="0" fontId="22" fillId="0" borderId="0" xfId="0" applyFont="1" applyFill="1" applyBorder="1" applyProtection="1"/>
    <xf numFmtId="0" fontId="22" fillId="0" borderId="0" xfId="0" applyFont="1" applyFill="1" applyProtection="1"/>
    <xf numFmtId="6" fontId="46" fillId="7" borderId="7" xfId="0" applyNumberFormat="1" applyFont="1" applyFill="1" applyBorder="1" applyProtection="1"/>
    <xf numFmtId="0" fontId="44" fillId="7" borderId="15" xfId="0" applyFont="1" applyFill="1" applyBorder="1" applyProtection="1"/>
    <xf numFmtId="0" fontId="46" fillId="7" borderId="56" xfId="0" applyFont="1" applyFill="1" applyBorder="1" applyProtection="1"/>
    <xf numFmtId="6" fontId="22" fillId="7" borderId="0" xfId="0" applyNumberFormat="1" applyFont="1" applyFill="1" applyBorder="1" applyAlignment="1" applyProtection="1">
      <alignment horizontal="center"/>
    </xf>
    <xf numFmtId="0" fontId="22" fillId="7" borderId="0" xfId="0" applyFont="1" applyFill="1" applyBorder="1" applyAlignment="1" applyProtection="1">
      <alignment horizontal="center"/>
    </xf>
    <xf numFmtId="0" fontId="22" fillId="7" borderId="52" xfId="0" applyFont="1" applyFill="1" applyBorder="1" applyAlignment="1" applyProtection="1">
      <alignment horizontal="center"/>
    </xf>
    <xf numFmtId="0" fontId="22" fillId="7" borderId="5" xfId="0" applyFont="1" applyFill="1" applyBorder="1" applyAlignment="1" applyProtection="1">
      <alignment horizontal="center"/>
    </xf>
    <xf numFmtId="9" fontId="22" fillId="7" borderId="0" xfId="0" applyNumberFormat="1" applyFont="1" applyFill="1" applyBorder="1" applyAlignment="1" applyProtection="1">
      <alignment horizontal="center"/>
    </xf>
    <xf numFmtId="9" fontId="22" fillId="7" borderId="49" xfId="0" applyNumberFormat="1" applyFont="1" applyFill="1" applyBorder="1" applyAlignment="1" applyProtection="1">
      <alignment horizontal="center"/>
    </xf>
    <xf numFmtId="6" fontId="22" fillId="7" borderId="43" xfId="0" applyNumberFormat="1" applyFont="1" applyFill="1" applyBorder="1" applyProtection="1"/>
    <xf numFmtId="6" fontId="46" fillId="0" borderId="13" xfId="0" applyNumberFormat="1" applyFont="1" applyFill="1" applyBorder="1" applyProtection="1"/>
    <xf numFmtId="6" fontId="46" fillId="0" borderId="57" xfId="0" applyNumberFormat="1" applyFont="1" applyFill="1" applyBorder="1" applyAlignment="1" applyProtection="1">
      <alignment horizontal="center"/>
    </xf>
    <xf numFmtId="6" fontId="22" fillId="7" borderId="43" xfId="0" applyNumberFormat="1" applyFont="1" applyFill="1" applyBorder="1" applyAlignment="1" applyProtection="1">
      <alignment horizontal="right"/>
    </xf>
    <xf numFmtId="6" fontId="22" fillId="7" borderId="5" xfId="0" applyNumberFormat="1" applyFont="1" applyFill="1" applyBorder="1" applyProtection="1"/>
    <xf numFmtId="6" fontId="46" fillId="0" borderId="0" xfId="0" applyNumberFormat="1" applyFont="1" applyFill="1" applyBorder="1" applyProtection="1"/>
    <xf numFmtId="6" fontId="46" fillId="0" borderId="49" xfId="0" applyNumberFormat="1" applyFont="1" applyFill="1" applyBorder="1" applyAlignment="1" applyProtection="1">
      <alignment horizontal="center"/>
    </xf>
    <xf numFmtId="6" fontId="22" fillId="7" borderId="5" xfId="0" applyNumberFormat="1" applyFont="1" applyFill="1" applyBorder="1" applyAlignment="1" applyProtection="1">
      <alignment horizontal="right"/>
    </xf>
    <xf numFmtId="6" fontId="46" fillId="7" borderId="5" xfId="0" applyNumberFormat="1" applyFont="1" applyFill="1" applyBorder="1" applyProtection="1"/>
    <xf numFmtId="6" fontId="46" fillId="7" borderId="5" xfId="0" applyNumberFormat="1" applyFont="1" applyFill="1" applyBorder="1" applyAlignment="1" applyProtection="1">
      <alignment horizontal="right"/>
    </xf>
    <xf numFmtId="169" fontId="46" fillId="0" borderId="0" xfId="0" applyNumberFormat="1" applyFont="1" applyFill="1" applyBorder="1" applyAlignment="1" applyProtection="1"/>
    <xf numFmtId="169" fontId="46" fillId="0" borderId="49" xfId="0" applyNumberFormat="1" applyFont="1" applyFill="1" applyBorder="1" applyAlignment="1" applyProtection="1"/>
    <xf numFmtId="169" fontId="46" fillId="0" borderId="0" xfId="0" applyNumberFormat="1" applyFont="1" applyFill="1" applyBorder="1" applyAlignment="1" applyProtection="1">
      <alignment horizontal="right"/>
    </xf>
    <xf numFmtId="169" fontId="46" fillId="0" borderId="0" xfId="0" applyNumberFormat="1" applyFont="1" applyFill="1" applyBorder="1" applyProtection="1"/>
    <xf numFmtId="3" fontId="46" fillId="0" borderId="0" xfId="0" applyNumberFormat="1" applyFont="1" applyFill="1" applyBorder="1" applyProtection="1"/>
    <xf numFmtId="169" fontId="46" fillId="0" borderId="49" xfId="0" applyNumberFormat="1" applyFont="1" applyFill="1" applyBorder="1" applyProtection="1"/>
    <xf numFmtId="0" fontId="22" fillId="0" borderId="13" xfId="0" applyFont="1" applyFill="1" applyBorder="1" applyProtection="1"/>
    <xf numFmtId="0" fontId="22" fillId="0" borderId="57" xfId="0" applyFont="1" applyFill="1" applyBorder="1" applyProtection="1"/>
    <xf numFmtId="6" fontId="46" fillId="0" borderId="0" xfId="0" applyNumberFormat="1" applyFont="1" applyFill="1" applyBorder="1" applyAlignment="1" applyProtection="1">
      <alignment horizontal="right"/>
    </xf>
    <xf numFmtId="0" fontId="46" fillId="0" borderId="58" xfId="0" applyFont="1" applyFill="1" applyBorder="1" applyProtection="1"/>
    <xf numFmtId="6" fontId="22" fillId="7" borderId="45" xfId="0" applyNumberFormat="1" applyFont="1" applyFill="1" applyBorder="1" applyProtection="1"/>
    <xf numFmtId="0" fontId="22" fillId="0" borderId="20" xfId="0" applyFont="1" applyFill="1" applyBorder="1" applyProtection="1"/>
    <xf numFmtId="0" fontId="22" fillId="0" borderId="59" xfId="0" applyFont="1" applyFill="1" applyBorder="1" applyProtection="1"/>
    <xf numFmtId="0" fontId="46" fillId="14" borderId="60" xfId="0" applyFont="1" applyFill="1" applyBorder="1" applyProtection="1"/>
    <xf numFmtId="0" fontId="46" fillId="14" borderId="51" xfId="0" applyFont="1" applyFill="1" applyBorder="1" applyProtection="1"/>
    <xf numFmtId="0" fontId="46" fillId="14" borderId="52" xfId="0" applyFont="1" applyFill="1" applyBorder="1" applyProtection="1"/>
    <xf numFmtId="0" fontId="22" fillId="0" borderId="0" xfId="0" applyFont="1" applyFill="1" applyBorder="1" applyAlignment="1" applyProtection="1">
      <alignment horizontal="right"/>
    </xf>
    <xf numFmtId="1" fontId="22" fillId="0" borderId="0" xfId="0" applyNumberFormat="1" applyFont="1" applyFill="1" applyBorder="1" applyProtection="1"/>
    <xf numFmtId="0" fontId="46" fillId="14" borderId="7" xfId="0" applyFont="1" applyFill="1" applyBorder="1" applyProtection="1"/>
    <xf numFmtId="0" fontId="46" fillId="14" borderId="55" xfId="0" applyFont="1" applyFill="1" applyBorder="1" applyProtection="1"/>
    <xf numFmtId="0" fontId="46" fillId="0" borderId="0" xfId="0" applyFont="1" applyFill="1" applyProtection="1"/>
    <xf numFmtId="0" fontId="46" fillId="0" borderId="46" xfId="0" applyFont="1" applyFill="1" applyBorder="1" applyProtection="1"/>
    <xf numFmtId="0" fontId="46" fillId="0" borderId="0" xfId="0" applyNumberFormat="1" applyFont="1" applyFill="1" applyBorder="1" applyAlignment="1" applyProtection="1">
      <alignment horizontal="center"/>
    </xf>
    <xf numFmtId="0" fontId="46" fillId="6" borderId="60" xfId="0" applyFont="1" applyFill="1" applyBorder="1" applyProtection="1"/>
    <xf numFmtId="0" fontId="46" fillId="6" borderId="51" xfId="0" applyFont="1" applyFill="1" applyBorder="1" applyProtection="1"/>
    <xf numFmtId="0" fontId="46" fillId="6" borderId="52" xfId="0" applyFont="1" applyFill="1" applyBorder="1" applyProtection="1"/>
    <xf numFmtId="0" fontId="46" fillId="6" borderId="7" xfId="0" applyFont="1" applyFill="1" applyBorder="1" applyProtection="1"/>
    <xf numFmtId="0" fontId="22" fillId="6" borderId="7" xfId="0" applyFont="1" applyFill="1" applyBorder="1" applyAlignment="1" applyProtection="1">
      <alignment horizontal="right"/>
    </xf>
    <xf numFmtId="1" fontId="22" fillId="6" borderId="55" xfId="0" applyNumberFormat="1" applyFont="1" applyFill="1" applyBorder="1" applyProtection="1"/>
    <xf numFmtId="0" fontId="46" fillId="0" borderId="0" xfId="0" applyFont="1" applyFill="1" applyBorder="1" applyAlignment="1" applyProtection="1">
      <alignment horizontal="right"/>
    </xf>
    <xf numFmtId="0" fontId="76" fillId="0" borderId="0" xfId="0" applyFont="1" applyBorder="1"/>
    <xf numFmtId="1" fontId="4" fillId="0" borderId="4" xfId="0" applyNumberFormat="1" applyFont="1" applyBorder="1" applyAlignment="1">
      <alignment horizontal="left"/>
    </xf>
    <xf numFmtId="0" fontId="6" fillId="3" borderId="19" xfId="0" applyFont="1" applyFill="1" applyBorder="1"/>
    <xf numFmtId="178" fontId="4" fillId="0" borderId="4" xfId="0" applyNumberFormat="1" applyFont="1" applyBorder="1" applyAlignment="1">
      <alignment horizontal="left"/>
    </xf>
    <xf numFmtId="172" fontId="14" fillId="4" borderId="11" xfId="6" applyNumberFormat="1" applyFont="1" applyFill="1" applyBorder="1" applyAlignment="1">
      <alignment horizontal="center" vertical="center" wrapText="1"/>
    </xf>
    <xf numFmtId="172" fontId="14" fillId="4" borderId="12" xfId="2" applyNumberFormat="1" applyFont="1" applyFill="1" applyBorder="1" applyAlignment="1">
      <alignment horizontal="center" vertical="center"/>
    </xf>
    <xf numFmtId="172" fontId="14" fillId="4" borderId="44" xfId="2" applyNumberFormat="1" applyFont="1" applyFill="1" applyBorder="1" applyAlignment="1">
      <alignment horizontal="center" vertical="center"/>
    </xf>
    <xf numFmtId="0" fontId="10" fillId="4" borderId="31" xfId="6" applyFont="1" applyFill="1" applyBorder="1" applyAlignment="1">
      <alignment horizontal="center" wrapText="1"/>
    </xf>
    <xf numFmtId="0" fontId="10" fillId="4" borderId="43" xfId="6" applyFont="1" applyFill="1" applyBorder="1" applyAlignment="1">
      <alignment horizontal="center" wrapText="1"/>
    </xf>
    <xf numFmtId="3" fontId="10" fillId="6" borderId="0" xfId="0" applyNumberFormat="1" applyFont="1" applyFill="1" applyBorder="1" applyAlignment="1">
      <alignment horizontal="left"/>
    </xf>
    <xf numFmtId="3" fontId="9" fillId="6" borderId="0" xfId="0" applyNumberFormat="1" applyFont="1" applyFill="1" applyBorder="1" applyAlignment="1">
      <alignment horizontal="center"/>
    </xf>
    <xf numFmtId="0" fontId="10" fillId="6" borderId="0" xfId="0" applyFont="1" applyFill="1" applyBorder="1" applyAlignment="1">
      <alignment horizontal="center"/>
    </xf>
    <xf numFmtId="10" fontId="9" fillId="6" borderId="0" xfId="7" applyNumberFormat="1" applyFont="1" applyFill="1" applyBorder="1" applyAlignment="1">
      <alignment horizontal="center"/>
    </xf>
    <xf numFmtId="3" fontId="10" fillId="6" borderId="0" xfId="0" applyNumberFormat="1" applyFont="1" applyFill="1" applyBorder="1" applyAlignment="1">
      <alignment horizontal="center"/>
    </xf>
    <xf numFmtId="3" fontId="9" fillId="6" borderId="0" xfId="0" applyNumberFormat="1" applyFont="1" applyFill="1"/>
    <xf numFmtId="0" fontId="9" fillId="6" borderId="0" xfId="0" applyFont="1" applyFill="1" applyBorder="1" applyAlignment="1">
      <alignment horizontal="center"/>
    </xf>
    <xf numFmtId="10" fontId="10" fillId="6" borderId="5" xfId="7" applyNumberFormat="1" applyFont="1" applyFill="1" applyBorder="1" applyAlignment="1">
      <alignment horizontal="center"/>
    </xf>
    <xf numFmtId="3" fontId="4" fillId="4" borderId="6" xfId="0" applyNumberFormat="1" applyFont="1" applyFill="1" applyBorder="1" applyAlignment="1"/>
    <xf numFmtId="3" fontId="5" fillId="0" borderId="13" xfId="0" applyNumberFormat="1" applyFont="1" applyFill="1" applyBorder="1" applyAlignment="1"/>
    <xf numFmtId="0" fontId="28" fillId="11" borderId="4" xfId="6" applyFont="1" applyFill="1" applyBorder="1" applyAlignment="1">
      <alignment horizontal="right"/>
    </xf>
    <xf numFmtId="0" fontId="15" fillId="7" borderId="0" xfId="0" applyFont="1" applyFill="1" applyBorder="1" applyAlignment="1">
      <alignment horizontal="center"/>
    </xf>
    <xf numFmtId="0" fontId="75" fillId="0" borderId="0" xfId="0" applyFont="1" applyFill="1" applyAlignment="1">
      <alignment horizontal="center"/>
    </xf>
    <xf numFmtId="0" fontId="5" fillId="0" borderId="0" xfId="0" applyFont="1" applyFill="1" applyBorder="1" applyAlignment="1">
      <alignment wrapText="1" shrinkToFit="1"/>
    </xf>
    <xf numFmtId="4" fontId="14" fillId="0" borderId="0" xfId="1" applyNumberFormat="1" applyFont="1" applyFill="1" applyBorder="1"/>
    <xf numFmtId="0" fontId="15" fillId="7" borderId="4" xfId="0" applyFont="1" applyFill="1" applyBorder="1"/>
    <xf numFmtId="0" fontId="15" fillId="7" borderId="5" xfId="0" applyFont="1" applyFill="1" applyBorder="1" applyAlignment="1">
      <alignment horizontal="center"/>
    </xf>
    <xf numFmtId="0" fontId="15" fillId="6" borderId="4" xfId="0" applyFont="1" applyFill="1" applyBorder="1"/>
    <xf numFmtId="0" fontId="15" fillId="6" borderId="0" xfId="0" applyFont="1" applyFill="1" applyBorder="1" applyAlignment="1">
      <alignment horizontal="center"/>
    </xf>
    <xf numFmtId="176" fontId="14" fillId="0" borderId="5" xfId="7" applyNumberFormat="1" applyFont="1" applyFill="1" applyBorder="1" applyAlignment="1"/>
    <xf numFmtId="176" fontId="15" fillId="7" borderId="45" xfId="7" applyNumberFormat="1" applyFont="1" applyFill="1" applyBorder="1" applyAlignment="1"/>
    <xf numFmtId="176" fontId="14" fillId="0" borderId="5" xfId="7" applyNumberFormat="1" applyFont="1" applyFill="1" applyBorder="1"/>
    <xf numFmtId="176" fontId="15" fillId="7" borderId="43" xfId="0" applyNumberFormat="1" applyFont="1" applyFill="1" applyBorder="1"/>
    <xf numFmtId="0" fontId="14" fillId="0" borderId="43" xfId="0" applyFont="1" applyBorder="1"/>
    <xf numFmtId="0" fontId="14" fillId="0" borderId="5" xfId="0" applyFont="1" applyBorder="1" applyAlignment="1">
      <alignment horizontal="left"/>
    </xf>
    <xf numFmtId="0" fontId="99" fillId="0" borderId="4" xfId="0" applyFont="1" applyBorder="1"/>
    <xf numFmtId="0" fontId="99" fillId="0" borderId="0" xfId="0" applyFont="1" applyBorder="1" applyAlignment="1">
      <alignment horizontal="right"/>
    </xf>
    <xf numFmtId="0" fontId="99" fillId="0" borderId="10" xfId="0" applyFont="1" applyBorder="1"/>
    <xf numFmtId="0" fontId="99" fillId="0" borderId="6" xfId="0" applyFont="1" applyBorder="1" applyAlignment="1">
      <alignment horizontal="right"/>
    </xf>
    <xf numFmtId="0" fontId="12" fillId="11" borderId="6" xfId="6" quotePrefix="1" applyFont="1" applyFill="1" applyBorder="1" applyAlignment="1">
      <alignment horizontal="left" vertical="center"/>
    </xf>
    <xf numFmtId="0" fontId="12" fillId="11" borderId="9" xfId="6" quotePrefix="1" applyFont="1" applyFill="1" applyBorder="1" applyAlignment="1">
      <alignment horizontal="left" vertical="center"/>
    </xf>
    <xf numFmtId="0" fontId="28" fillId="11" borderId="4" xfId="6" applyFont="1" applyFill="1" applyBorder="1" applyAlignment="1">
      <alignment horizontal="right" vertical="center"/>
    </xf>
    <xf numFmtId="8" fontId="4" fillId="6" borderId="0" xfId="3" applyFont="1" applyFill="1" applyBorder="1" applyAlignment="1"/>
    <xf numFmtId="0" fontId="14" fillId="0" borderId="0" xfId="0" applyFont="1" applyFill="1" applyAlignment="1">
      <alignment vertical="center" wrapText="1"/>
    </xf>
    <xf numFmtId="8" fontId="4" fillId="0" borderId="10" xfId="3" applyFont="1" applyFill="1" applyBorder="1"/>
    <xf numFmtId="8" fontId="4" fillId="0" borderId="44" xfId="3" applyFont="1" applyFill="1" applyBorder="1"/>
    <xf numFmtId="0" fontId="5" fillId="6" borderId="18" xfId="0" applyFont="1" applyFill="1" applyBorder="1" applyAlignment="1">
      <alignment horizontal="center"/>
    </xf>
    <xf numFmtId="0" fontId="5" fillId="6" borderId="43" xfId="0" applyFont="1" applyFill="1" applyBorder="1"/>
    <xf numFmtId="0" fontId="5" fillId="6" borderId="18" xfId="0" applyFont="1" applyFill="1" applyBorder="1" applyAlignment="1">
      <alignment horizontal="left"/>
    </xf>
    <xf numFmtId="0" fontId="5" fillId="6" borderId="43" xfId="0" applyFont="1" applyFill="1" applyBorder="1" applyAlignment="1">
      <alignment horizontal="center"/>
    </xf>
    <xf numFmtId="0" fontId="5" fillId="6" borderId="31" xfId="0" applyFont="1" applyFill="1" applyBorder="1" applyAlignment="1">
      <alignment horizontal="right"/>
    </xf>
    <xf numFmtId="0" fontId="22" fillId="6" borderId="3" xfId="0" applyFont="1" applyFill="1" applyBorder="1"/>
    <xf numFmtId="0" fontId="5" fillId="6" borderId="31" xfId="0" applyFont="1" applyFill="1" applyBorder="1"/>
    <xf numFmtId="0" fontId="22" fillId="6" borderId="11" xfId="0" applyFont="1" applyFill="1" applyBorder="1" applyAlignment="1">
      <alignment horizontal="center"/>
    </xf>
    <xf numFmtId="0" fontId="99" fillId="0" borderId="1" xfId="0" applyFont="1" applyBorder="1" applyAlignment="1">
      <alignment horizontal="right"/>
    </xf>
    <xf numFmtId="0" fontId="99" fillId="0" borderId="2" xfId="0" applyFont="1" applyBorder="1"/>
    <xf numFmtId="0" fontId="14" fillId="0" borderId="3" xfId="0" applyFont="1" applyBorder="1" applyAlignment="1">
      <alignment horizontal="left"/>
    </xf>
    <xf numFmtId="0" fontId="99" fillId="0" borderId="5" xfId="0" applyFont="1" applyBorder="1" applyAlignment="1">
      <alignment horizontal="right"/>
    </xf>
    <xf numFmtId="176" fontId="99" fillId="0" borderId="1" xfId="7" applyNumberFormat="1" applyFont="1" applyFill="1" applyBorder="1" applyAlignment="1"/>
    <xf numFmtId="176" fontId="99" fillId="0" borderId="0" xfId="7" applyNumberFormat="1" applyFont="1" applyFill="1" applyBorder="1" applyAlignment="1"/>
    <xf numFmtId="176" fontId="83" fillId="0" borderId="0" xfId="7" applyNumberFormat="1" applyFont="1" applyFill="1" applyBorder="1" applyAlignment="1"/>
    <xf numFmtId="176" fontId="83" fillId="0" borderId="5" xfId="7" applyNumberFormat="1" applyFont="1" applyFill="1" applyBorder="1" applyAlignment="1"/>
    <xf numFmtId="176" fontId="14" fillId="0" borderId="0" xfId="0" applyNumberFormat="1" applyFont="1"/>
    <xf numFmtId="176" fontId="15" fillId="6" borderId="13" xfId="7" applyNumberFormat="1" applyFont="1" applyFill="1" applyBorder="1" applyAlignment="1"/>
    <xf numFmtId="176" fontId="15" fillId="6" borderId="43" xfId="7" applyNumberFormat="1" applyFont="1" applyFill="1" applyBorder="1" applyAlignment="1"/>
    <xf numFmtId="0" fontId="99" fillId="0" borderId="0" xfId="0" applyFont="1" applyBorder="1" applyAlignment="1">
      <alignment horizontal="left"/>
    </xf>
    <xf numFmtId="0" fontId="22" fillId="7" borderId="43" xfId="0" applyFont="1" applyFill="1" applyBorder="1" applyAlignment="1" applyProtection="1">
      <alignment horizontal="center"/>
    </xf>
    <xf numFmtId="9" fontId="22" fillId="7" borderId="13" xfId="0" applyNumberFormat="1" applyFont="1" applyFill="1" applyBorder="1" applyAlignment="1" applyProtection="1">
      <alignment horizontal="center"/>
    </xf>
    <xf numFmtId="9" fontId="22" fillId="7" borderId="57" xfId="0" applyNumberFormat="1" applyFont="1" applyFill="1" applyBorder="1" applyAlignment="1" applyProtection="1">
      <alignment horizontal="center"/>
    </xf>
    <xf numFmtId="0" fontId="46" fillId="7" borderId="13" xfId="0" applyFont="1" applyFill="1" applyBorder="1" applyProtection="1"/>
    <xf numFmtId="0" fontId="15" fillId="7" borderId="46" xfId="0" applyFont="1" applyFill="1" applyBorder="1" applyAlignment="1" applyProtection="1">
      <alignment horizontal="left"/>
    </xf>
    <xf numFmtId="6" fontId="14" fillId="0" borderId="63" xfId="0" applyNumberFormat="1" applyFont="1" applyFill="1" applyBorder="1" applyAlignment="1" applyProtection="1">
      <alignment horizontal="left"/>
    </xf>
    <xf numFmtId="6" fontId="14" fillId="0" borderId="46" xfId="0" applyNumberFormat="1" applyFont="1" applyFill="1" applyBorder="1" applyAlignment="1" applyProtection="1">
      <alignment horizontal="left"/>
    </xf>
    <xf numFmtId="0" fontId="15" fillId="7" borderId="63" xfId="0" applyFont="1" applyFill="1" applyBorder="1" applyAlignment="1" applyProtection="1">
      <alignment horizontal="left"/>
    </xf>
    <xf numFmtId="0" fontId="14" fillId="0" borderId="46" xfId="0" applyFont="1" applyFill="1" applyBorder="1" applyAlignment="1" applyProtection="1">
      <alignment horizontal="left"/>
    </xf>
    <xf numFmtId="6" fontId="15" fillId="0" borderId="63" xfId="0" applyNumberFormat="1" applyFont="1" applyFill="1" applyBorder="1" applyAlignment="1" applyProtection="1">
      <alignment horizontal="left"/>
    </xf>
    <xf numFmtId="6" fontId="15" fillId="0" borderId="64" xfId="0" applyNumberFormat="1" applyFont="1" applyFill="1" applyBorder="1" applyAlignment="1" applyProtection="1">
      <alignment horizontal="left"/>
    </xf>
    <xf numFmtId="0" fontId="15" fillId="7" borderId="18" xfId="0" applyFont="1" applyFill="1" applyBorder="1" applyAlignment="1" applyProtection="1">
      <alignment horizontal="left"/>
    </xf>
    <xf numFmtId="0" fontId="4" fillId="7" borderId="50" xfId="0" applyFont="1" applyFill="1" applyBorder="1" applyProtection="1"/>
    <xf numFmtId="0" fontId="15" fillId="0" borderId="46" xfId="0" applyFont="1" applyFill="1" applyBorder="1" applyProtection="1"/>
    <xf numFmtId="0" fontId="14" fillId="0" borderId="46" xfId="0" applyFont="1" applyFill="1" applyBorder="1" applyProtection="1"/>
    <xf numFmtId="0" fontId="14" fillId="0" borderId="61" xfId="0" applyFont="1" applyFill="1" applyBorder="1" applyProtection="1"/>
    <xf numFmtId="0" fontId="15" fillId="0" borderId="48" xfId="0" applyFont="1" applyFill="1" applyBorder="1" applyProtection="1"/>
    <xf numFmtId="0" fontId="21" fillId="14" borderId="50" xfId="0" applyFont="1" applyFill="1" applyBorder="1" applyProtection="1"/>
    <xf numFmtId="0" fontId="15" fillId="14" borderId="51" xfId="0" applyFont="1" applyFill="1" applyBorder="1" applyAlignment="1" applyProtection="1">
      <alignment horizontal="center"/>
    </xf>
    <xf numFmtId="0" fontId="15" fillId="14" borderId="17" xfId="0" applyFont="1" applyFill="1" applyBorder="1" applyProtection="1"/>
    <xf numFmtId="0" fontId="15" fillId="14" borderId="51" xfId="0" applyFont="1" applyFill="1" applyBorder="1" applyProtection="1"/>
    <xf numFmtId="0" fontId="15" fillId="14" borderId="52" xfId="0" applyFont="1" applyFill="1" applyBorder="1" applyProtection="1"/>
    <xf numFmtId="0" fontId="15" fillId="14" borderId="61" xfId="0" applyFont="1" applyFill="1" applyBorder="1" applyProtection="1"/>
    <xf numFmtId="0" fontId="15" fillId="14" borderId="6" xfId="0" applyFont="1" applyFill="1" applyBorder="1" applyAlignment="1" applyProtection="1">
      <alignment horizontal="center"/>
    </xf>
    <xf numFmtId="0" fontId="15" fillId="14" borderId="10" xfId="0" applyFont="1" applyFill="1" applyBorder="1" applyAlignment="1" applyProtection="1">
      <alignment horizontal="center"/>
    </xf>
    <xf numFmtId="0" fontId="14" fillId="14" borderId="58" xfId="0" applyFont="1" applyFill="1" applyBorder="1" applyProtection="1"/>
    <xf numFmtId="6" fontId="15" fillId="0" borderId="0" xfId="0" applyNumberFormat="1" applyFont="1" applyFill="1" applyBorder="1" applyProtection="1"/>
    <xf numFmtId="10" fontId="14" fillId="0" borderId="2" xfId="0" applyNumberFormat="1" applyFont="1" applyFill="1" applyBorder="1" applyProtection="1"/>
    <xf numFmtId="6" fontId="14" fillId="0" borderId="0" xfId="0" applyNumberFormat="1" applyFont="1" applyFill="1" applyBorder="1" applyProtection="1"/>
    <xf numFmtId="0" fontId="31" fillId="0" borderId="65" xfId="0" applyFont="1" applyFill="1" applyBorder="1" applyAlignment="1" applyProtection="1">
      <alignment horizontal="left"/>
    </xf>
    <xf numFmtId="10" fontId="14" fillId="0" borderId="4" xfId="0" applyNumberFormat="1" applyFont="1" applyFill="1" applyBorder="1" applyProtection="1"/>
    <xf numFmtId="0" fontId="31" fillId="0" borderId="66" xfId="0" applyFont="1" applyFill="1" applyBorder="1" applyAlignment="1" applyProtection="1">
      <alignment horizontal="left"/>
    </xf>
    <xf numFmtId="0" fontId="31" fillId="0" borderId="66" xfId="0" applyFont="1" applyFill="1" applyBorder="1" applyAlignment="1" applyProtection="1">
      <alignment horizontal="center"/>
    </xf>
    <xf numFmtId="6" fontId="14" fillId="0" borderId="6" xfId="0" applyNumberFormat="1" applyFont="1" applyFill="1" applyBorder="1" applyProtection="1"/>
    <xf numFmtId="10" fontId="14" fillId="0" borderId="10" xfId="0" applyNumberFormat="1" applyFont="1" applyFill="1" applyBorder="1" applyProtection="1"/>
    <xf numFmtId="0" fontId="31" fillId="0" borderId="67" xfId="0" applyFont="1" applyFill="1" applyBorder="1" applyAlignment="1" applyProtection="1">
      <alignment horizontal="center"/>
    </xf>
    <xf numFmtId="6" fontId="15" fillId="0" borderId="0" xfId="0" applyNumberFormat="1" applyFont="1" applyFill="1" applyBorder="1" applyAlignment="1" applyProtection="1">
      <alignment horizontal="right"/>
    </xf>
    <xf numFmtId="174" fontId="14" fillId="0" borderId="66" xfId="0" applyNumberFormat="1" applyFont="1" applyFill="1" applyBorder="1" applyAlignment="1" applyProtection="1">
      <alignment horizontal="center"/>
    </xf>
    <xf numFmtId="6" fontId="14" fillId="0" borderId="0" xfId="0" applyNumberFormat="1" applyFont="1" applyFill="1" applyBorder="1" applyAlignment="1" applyProtection="1">
      <alignment horizontal="right"/>
    </xf>
    <xf numFmtId="6" fontId="14" fillId="0" borderId="16" xfId="0" applyNumberFormat="1" applyFont="1" applyFill="1" applyBorder="1" applyProtection="1"/>
    <xf numFmtId="10" fontId="14" fillId="0" borderId="21" xfId="0" applyNumberFormat="1" applyFont="1" applyFill="1" applyBorder="1" applyProtection="1"/>
    <xf numFmtId="174" fontId="14" fillId="0" borderId="68" xfId="0" applyNumberFormat="1" applyFont="1" applyFill="1" applyBorder="1" applyAlignment="1" applyProtection="1">
      <alignment horizontal="center"/>
    </xf>
    <xf numFmtId="10" fontId="15" fillId="0" borderId="4" xfId="0" applyNumberFormat="1" applyFont="1" applyFill="1" applyBorder="1" applyProtection="1"/>
    <xf numFmtId="0" fontId="14" fillId="0" borderId="49" xfId="0" applyFont="1" applyFill="1" applyBorder="1" applyProtection="1"/>
    <xf numFmtId="0" fontId="14" fillId="0" borderId="48" xfId="0" applyFont="1" applyFill="1" applyBorder="1" applyProtection="1"/>
    <xf numFmtId="0" fontId="14" fillId="0" borderId="21" xfId="0" applyFont="1" applyFill="1" applyBorder="1" applyProtection="1"/>
    <xf numFmtId="0" fontId="14" fillId="0" borderId="16" xfId="0" applyFont="1" applyFill="1" applyBorder="1" applyProtection="1"/>
    <xf numFmtId="0" fontId="14" fillId="0" borderId="54" xfId="0" applyNumberFormat="1" applyFont="1" applyFill="1" applyBorder="1" applyAlignment="1" applyProtection="1">
      <alignment horizontal="center"/>
    </xf>
    <xf numFmtId="9" fontId="22" fillId="7" borderId="13" xfId="0" applyNumberFormat="1" applyFont="1" applyFill="1" applyBorder="1" applyAlignment="1" applyProtection="1">
      <alignment horizontal="left"/>
    </xf>
    <xf numFmtId="0" fontId="15" fillId="6" borderId="1" xfId="0" applyFont="1" applyFill="1" applyBorder="1"/>
    <xf numFmtId="176" fontId="15" fillId="6" borderId="1" xfId="7" applyNumberFormat="1" applyFont="1" applyFill="1" applyBorder="1" applyAlignment="1"/>
    <xf numFmtId="176" fontId="15" fillId="6" borderId="3" xfId="7" applyNumberFormat="1" applyFont="1" applyFill="1" applyBorder="1" applyAlignment="1"/>
    <xf numFmtId="0" fontId="14" fillId="0" borderId="18" xfId="0" applyFont="1" applyFill="1" applyBorder="1"/>
    <xf numFmtId="176" fontId="83" fillId="0" borderId="13" xfId="7" applyNumberFormat="1" applyFont="1" applyFill="1" applyBorder="1"/>
    <xf numFmtId="176" fontId="99" fillId="0" borderId="13" xfId="7" applyNumberFormat="1" applyFont="1" applyFill="1" applyBorder="1" applyAlignment="1"/>
    <xf numFmtId="176" fontId="83" fillId="0" borderId="43" xfId="7" applyNumberFormat="1" applyFont="1" applyFill="1" applyBorder="1"/>
    <xf numFmtId="0" fontId="9" fillId="7" borderId="4" xfId="0" applyFont="1" applyFill="1" applyBorder="1"/>
    <xf numFmtId="0" fontId="10" fillId="7" borderId="0" xfId="0" applyFont="1" applyFill="1" applyBorder="1" applyAlignment="1">
      <alignment horizontal="center"/>
    </xf>
    <xf numFmtId="0" fontId="10" fillId="7" borderId="5" xfId="0" applyFont="1" applyFill="1" applyBorder="1" applyAlignment="1">
      <alignment horizontal="center"/>
    </xf>
    <xf numFmtId="0" fontId="14" fillId="0" borderId="2" xfId="0" applyFont="1" applyFill="1" applyBorder="1"/>
    <xf numFmtId="176" fontId="14" fillId="0" borderId="1" xfId="7" applyNumberFormat="1" applyFont="1" applyFill="1" applyBorder="1" applyAlignment="1"/>
    <xf numFmtId="176" fontId="14" fillId="0" borderId="3" xfId="7" applyNumberFormat="1" applyFont="1" applyFill="1" applyBorder="1" applyAlignment="1"/>
    <xf numFmtId="0" fontId="99" fillId="0" borderId="4" xfId="0" applyFont="1" applyBorder="1" applyAlignment="1">
      <alignment horizontal="left"/>
    </xf>
    <xf numFmtId="176" fontId="14" fillId="0" borderId="6" xfId="7" applyNumberFormat="1" applyFont="1" applyFill="1" applyBorder="1" applyAlignment="1"/>
    <xf numFmtId="176" fontId="9" fillId="0" borderId="0" xfId="0" applyNumberFormat="1" applyFont="1" applyFill="1" applyBorder="1" applyAlignment="1"/>
    <xf numFmtId="176" fontId="9" fillId="0" borderId="0" xfId="0" applyNumberFormat="1" applyFont="1" applyBorder="1" applyAlignment="1"/>
    <xf numFmtId="176" fontId="10" fillId="0" borderId="0" xfId="0" applyNumberFormat="1" applyFont="1" applyBorder="1" applyAlignment="1"/>
    <xf numFmtId="169" fontId="5" fillId="0" borderId="0" xfId="0" applyNumberFormat="1" applyFont="1" applyFill="1" applyBorder="1" applyAlignment="1">
      <alignment horizontal="center"/>
    </xf>
    <xf numFmtId="0" fontId="22" fillId="6" borderId="51" xfId="0" applyFont="1" applyFill="1" applyBorder="1" applyAlignment="1" applyProtection="1">
      <alignment horizontal="right"/>
    </xf>
    <xf numFmtId="1" fontId="22" fillId="6" borderId="52" xfId="0" applyNumberFormat="1" applyFont="1" applyFill="1" applyBorder="1" applyProtection="1"/>
    <xf numFmtId="0" fontId="6" fillId="14" borderId="15" xfId="0" applyFont="1" applyFill="1" applyBorder="1" applyProtection="1"/>
    <xf numFmtId="0" fontId="6" fillId="6" borderId="15" xfId="0" applyFont="1" applyFill="1" applyBorder="1" applyProtection="1"/>
    <xf numFmtId="0" fontId="21" fillId="6" borderId="50" xfId="0" applyFont="1" applyFill="1" applyBorder="1" applyProtection="1"/>
    <xf numFmtId="0" fontId="15" fillId="6" borderId="61" xfId="0" applyFont="1" applyFill="1" applyBorder="1" applyProtection="1"/>
    <xf numFmtId="0" fontId="15" fillId="6" borderId="6" xfId="0" applyFont="1" applyFill="1" applyBorder="1" applyAlignment="1" applyProtection="1">
      <alignment horizontal="center"/>
    </xf>
    <xf numFmtId="0" fontId="15" fillId="6" borderId="61" xfId="0" applyFont="1" applyFill="1" applyBorder="1" applyAlignment="1" applyProtection="1">
      <alignment horizontal="center"/>
    </xf>
    <xf numFmtId="0" fontId="14" fillId="6" borderId="58" xfId="0" applyFont="1" applyFill="1" applyBorder="1" applyAlignment="1" applyProtection="1">
      <alignment horizontal="center"/>
    </xf>
    <xf numFmtId="0" fontId="15" fillId="6" borderId="58" xfId="0" applyFont="1" applyFill="1" applyBorder="1" applyAlignment="1" applyProtection="1">
      <alignment horizontal="center"/>
    </xf>
    <xf numFmtId="10" fontId="14" fillId="0" borderId="69" xfId="0" applyNumberFormat="1" applyFont="1" applyFill="1" applyBorder="1" applyProtection="1"/>
    <xf numFmtId="169" fontId="14" fillId="0" borderId="0" xfId="0" applyNumberFormat="1" applyFont="1" applyFill="1" applyBorder="1" applyAlignment="1" applyProtection="1">
      <alignment horizontal="right"/>
    </xf>
    <xf numFmtId="169" fontId="14" fillId="0" borderId="1" xfId="0" applyNumberFormat="1" applyFont="1" applyFill="1" applyBorder="1" applyAlignment="1" applyProtection="1">
      <alignment horizontal="right"/>
    </xf>
    <xf numFmtId="169" fontId="14" fillId="0" borderId="62" xfId="0" applyNumberFormat="1" applyFont="1" applyFill="1" applyBorder="1" applyAlignment="1" applyProtection="1">
      <alignment horizontal="right"/>
    </xf>
    <xf numFmtId="10" fontId="14" fillId="0" borderId="46" xfId="0" applyNumberFormat="1" applyFont="1" applyFill="1" applyBorder="1" applyProtection="1"/>
    <xf numFmtId="176" fontId="76" fillId="0" borderId="0" xfId="7" applyNumberFormat="1" applyFont="1" applyFill="1" applyBorder="1" applyAlignment="1" applyProtection="1">
      <alignment horizontal="right"/>
    </xf>
    <xf numFmtId="176" fontId="76" fillId="0" borderId="49" xfId="0" applyNumberFormat="1" applyFont="1" applyFill="1" applyBorder="1" applyAlignment="1" applyProtection="1">
      <alignment horizontal="right"/>
    </xf>
    <xf numFmtId="0" fontId="14" fillId="0" borderId="0" xfId="0" applyFont="1" applyFill="1" applyBorder="1" applyAlignment="1" applyProtection="1">
      <alignment horizontal="right"/>
    </xf>
    <xf numFmtId="10" fontId="14" fillId="0" borderId="0" xfId="0" applyNumberFormat="1" applyFont="1" applyFill="1" applyBorder="1" applyAlignment="1" applyProtection="1">
      <alignment horizontal="right"/>
    </xf>
    <xf numFmtId="10" fontId="14" fillId="0" borderId="49" xfId="0" applyNumberFormat="1" applyFont="1" applyFill="1" applyBorder="1" applyAlignment="1" applyProtection="1">
      <alignment horizontal="right"/>
    </xf>
    <xf numFmtId="10" fontId="14" fillId="0" borderId="61" xfId="0" applyNumberFormat="1" applyFont="1" applyFill="1" applyBorder="1" applyProtection="1"/>
    <xf numFmtId="0" fontId="14" fillId="0" borderId="6" xfId="0" applyFont="1" applyFill="1" applyBorder="1" applyAlignment="1" applyProtection="1">
      <alignment horizontal="right"/>
    </xf>
    <xf numFmtId="10" fontId="14" fillId="0" borderId="6" xfId="0" applyNumberFormat="1" applyFont="1" applyFill="1" applyBorder="1" applyAlignment="1" applyProtection="1">
      <alignment horizontal="right"/>
    </xf>
    <xf numFmtId="10" fontId="14" fillId="0" borderId="58" xfId="0" applyNumberFormat="1" applyFont="1" applyFill="1" applyBorder="1" applyAlignment="1" applyProtection="1">
      <alignment horizontal="right"/>
    </xf>
    <xf numFmtId="0" fontId="14" fillId="0" borderId="66" xfId="0" applyNumberFormat="1" applyFont="1" applyFill="1" applyBorder="1" applyAlignment="1" applyProtection="1">
      <alignment horizontal="center"/>
    </xf>
    <xf numFmtId="10" fontId="14" fillId="0" borderId="48" xfId="0" applyNumberFormat="1" applyFont="1" applyFill="1" applyBorder="1" applyProtection="1"/>
    <xf numFmtId="0" fontId="14" fillId="0" borderId="16" xfId="0" applyFont="1" applyFill="1" applyBorder="1" applyAlignment="1" applyProtection="1">
      <alignment horizontal="right"/>
    </xf>
    <xf numFmtId="10" fontId="14" fillId="0" borderId="16" xfId="0" applyNumberFormat="1" applyFont="1" applyFill="1" applyBorder="1" applyAlignment="1" applyProtection="1">
      <alignment horizontal="right"/>
    </xf>
    <xf numFmtId="10" fontId="14" fillId="0" borderId="54" xfId="0" applyNumberFormat="1" applyFont="1" applyFill="1" applyBorder="1" applyAlignment="1" applyProtection="1">
      <alignment horizontal="right"/>
    </xf>
    <xf numFmtId="0" fontId="14" fillId="0" borderId="68" xfId="0" applyNumberFormat="1" applyFont="1" applyFill="1" applyBorder="1" applyAlignment="1" applyProtection="1">
      <alignment horizontal="center"/>
    </xf>
    <xf numFmtId="6" fontId="15" fillId="0" borderId="56" xfId="0" applyNumberFormat="1" applyFont="1" applyFill="1" applyBorder="1" applyAlignment="1" applyProtection="1">
      <alignment horizontal="right"/>
    </xf>
    <xf numFmtId="10" fontId="15" fillId="0" borderId="51" xfId="0" applyNumberFormat="1" applyFont="1" applyFill="1" applyBorder="1" applyProtection="1"/>
    <xf numFmtId="6" fontId="15" fillId="0" borderId="51" xfId="0" applyNumberFormat="1" applyFont="1" applyFill="1" applyBorder="1" applyAlignment="1" applyProtection="1">
      <alignment horizontal="right"/>
    </xf>
    <xf numFmtId="0" fontId="14" fillId="0" borderId="51" xfId="0" applyFont="1" applyFill="1" applyBorder="1" applyProtection="1"/>
    <xf numFmtId="169" fontId="15" fillId="0" borderId="51" xfId="0" applyNumberFormat="1" applyFont="1" applyFill="1" applyBorder="1" applyAlignment="1" applyProtection="1">
      <alignment horizontal="right"/>
    </xf>
    <xf numFmtId="169" fontId="15" fillId="0" borderId="52" xfId="0" applyNumberFormat="1" applyFont="1" applyFill="1" applyBorder="1" applyAlignment="1" applyProtection="1">
      <alignment horizontal="right"/>
    </xf>
    <xf numFmtId="0" fontId="15" fillId="0" borderId="50" xfId="0" applyFont="1" applyFill="1" applyBorder="1" applyProtection="1"/>
    <xf numFmtId="10" fontId="15" fillId="0" borderId="17" xfId="0" applyNumberFormat="1" applyFont="1" applyFill="1" applyBorder="1" applyProtection="1"/>
    <xf numFmtId="6" fontId="14" fillId="0" borderId="42" xfId="0" applyNumberFormat="1" applyFont="1" applyBorder="1" applyProtection="1"/>
    <xf numFmtId="0" fontId="14" fillId="0" borderId="16" xfId="0" applyFont="1" applyBorder="1" applyProtection="1"/>
    <xf numFmtId="6" fontId="14" fillId="0" borderId="16" xfId="0" applyNumberFormat="1" applyFont="1" applyBorder="1" applyProtection="1"/>
    <xf numFmtId="0" fontId="14" fillId="0" borderId="54" xfId="0" applyFont="1" applyBorder="1" applyProtection="1"/>
    <xf numFmtId="0" fontId="15" fillId="0" borderId="15" xfId="0" applyFont="1" applyFill="1" applyBorder="1" applyProtection="1"/>
    <xf numFmtId="6" fontId="15" fillId="0" borderId="8" xfId="0" applyNumberFormat="1" applyFont="1" applyFill="1" applyBorder="1" applyAlignment="1" applyProtection="1">
      <alignment horizontal="right"/>
    </xf>
    <xf numFmtId="10" fontId="15" fillId="0" borderId="7" xfId="0" applyNumberFormat="1" applyFont="1" applyFill="1" applyBorder="1" applyProtection="1"/>
    <xf numFmtId="6" fontId="15" fillId="0" borderId="7" xfId="0" applyNumberFormat="1" applyFont="1" applyFill="1" applyBorder="1" applyAlignment="1" applyProtection="1">
      <alignment horizontal="right"/>
    </xf>
    <xf numFmtId="0" fontId="14" fillId="0" borderId="7" xfId="0" applyFont="1" applyFill="1" applyBorder="1" applyProtection="1"/>
    <xf numFmtId="169" fontId="15" fillId="0" borderId="7" xfId="0" applyNumberFormat="1" applyFont="1" applyFill="1" applyBorder="1" applyAlignment="1" applyProtection="1">
      <alignment horizontal="right"/>
    </xf>
    <xf numFmtId="169" fontId="15" fillId="0" borderId="55" xfId="0" applyNumberFormat="1" applyFont="1" applyFill="1" applyBorder="1" applyAlignment="1" applyProtection="1">
      <alignment horizontal="right"/>
    </xf>
    <xf numFmtId="10" fontId="15" fillId="0" borderId="14" xfId="0" applyNumberFormat="1" applyFont="1" applyFill="1" applyBorder="1" applyProtection="1"/>
    <xf numFmtId="0" fontId="21" fillId="6" borderId="46" xfId="0" applyFont="1" applyFill="1" applyBorder="1" applyProtection="1"/>
    <xf numFmtId="0" fontId="15" fillId="6" borderId="10" xfId="0" applyFont="1" applyFill="1" applyBorder="1" applyAlignment="1" applyProtection="1">
      <alignment horizontal="center"/>
    </xf>
    <xf numFmtId="0" fontId="15" fillId="0" borderId="4" xfId="0" applyNumberFormat="1" applyFont="1" applyFill="1" applyBorder="1" applyProtection="1"/>
    <xf numFmtId="169" fontId="15" fillId="0" borderId="0" xfId="0" applyNumberFormat="1" applyFont="1" applyFill="1" applyBorder="1" applyAlignment="1" applyProtection="1">
      <alignment horizontal="right"/>
    </xf>
    <xf numFmtId="169" fontId="15" fillId="0" borderId="49" xfId="0" applyNumberFormat="1" applyFont="1" applyFill="1" applyBorder="1" applyAlignment="1" applyProtection="1">
      <alignment horizontal="right"/>
    </xf>
    <xf numFmtId="6" fontId="14" fillId="0" borderId="54" xfId="0" applyNumberFormat="1" applyFont="1" applyFill="1" applyBorder="1" applyProtection="1"/>
    <xf numFmtId="6" fontId="14" fillId="0" borderId="16" xfId="0" applyNumberFormat="1" applyFont="1" applyFill="1" applyBorder="1" applyAlignment="1" applyProtection="1">
      <alignment horizontal="right"/>
    </xf>
    <xf numFmtId="0" fontId="15" fillId="0" borderId="0" xfId="0" applyFont="1" applyFill="1" applyBorder="1" applyProtection="1"/>
    <xf numFmtId="0" fontId="21" fillId="14" borderId="46" xfId="0" applyFont="1" applyFill="1" applyBorder="1" applyProtection="1"/>
    <xf numFmtId="0" fontId="15" fillId="14" borderId="0" xfId="0" applyFont="1" applyFill="1" applyBorder="1" applyAlignment="1" applyProtection="1">
      <alignment horizontal="center"/>
    </xf>
    <xf numFmtId="0" fontId="15" fillId="14" borderId="4" xfId="0" applyFont="1" applyFill="1" applyBorder="1" applyProtection="1"/>
    <xf numFmtId="0" fontId="15" fillId="14" borderId="0" xfId="0" applyFont="1" applyFill="1" applyBorder="1" applyProtection="1"/>
    <xf numFmtId="0" fontId="15" fillId="14" borderId="49" xfId="0" applyFont="1" applyFill="1" applyBorder="1" applyProtection="1"/>
    <xf numFmtId="10" fontId="9" fillId="0" borderId="0" xfId="7" applyNumberFormat="1" applyFont="1" applyFill="1" applyBorder="1" applyAlignment="1">
      <alignment horizontal="left"/>
    </xf>
    <xf numFmtId="10" fontId="4" fillId="0" borderId="0" xfId="7" applyNumberFormat="1" applyFont="1" applyBorder="1"/>
    <xf numFmtId="0" fontId="5" fillId="0" borderId="2" xfId="0" applyFont="1" applyBorder="1" applyAlignment="1"/>
    <xf numFmtId="0" fontId="22" fillId="7" borderId="51" xfId="0" applyFont="1" applyFill="1" applyBorder="1" applyAlignment="1" applyProtection="1">
      <alignment horizontal="center"/>
    </xf>
    <xf numFmtId="0" fontId="46" fillId="7" borderId="57" xfId="0" applyFont="1" applyFill="1" applyBorder="1" applyProtection="1"/>
    <xf numFmtId="49" fontId="78" fillId="0" borderId="43" xfId="0" applyNumberFormat="1" applyFont="1" applyBorder="1" applyAlignment="1">
      <alignment horizontal="left"/>
    </xf>
    <xf numFmtId="1" fontId="78" fillId="0" borderId="43" xfId="0" applyNumberFormat="1" applyFont="1" applyBorder="1" applyAlignment="1">
      <alignment horizontal="left"/>
    </xf>
    <xf numFmtId="172" fontId="100" fillId="5" borderId="0" xfId="2" applyNumberFormat="1" applyFont="1" applyFill="1" applyBorder="1" applyAlignment="1">
      <alignment horizontal="center" vertical="center"/>
    </xf>
    <xf numFmtId="172" fontId="100" fillId="5" borderId="12" xfId="2" applyNumberFormat="1" applyFont="1" applyFill="1" applyBorder="1" applyAlignment="1">
      <alignment horizontal="center" vertical="center"/>
    </xf>
    <xf numFmtId="0" fontId="86" fillId="4" borderId="0" xfId="6" applyFont="1" applyFill="1" applyBorder="1" applyAlignment="1">
      <alignment horizontal="center" vertical="center" wrapText="1"/>
    </xf>
    <xf numFmtId="3" fontId="93" fillId="0" borderId="13" xfId="0" applyNumberFormat="1" applyFont="1" applyBorder="1" applyAlignment="1"/>
    <xf numFmtId="0" fontId="93" fillId="0" borderId="13" xfId="0" applyFont="1" applyBorder="1" applyAlignment="1"/>
    <xf numFmtId="3" fontId="4" fillId="0" borderId="6" xfId="1" applyNumberFormat="1" applyFont="1" applyFill="1" applyBorder="1" applyAlignment="1">
      <alignment horizontal="right"/>
    </xf>
    <xf numFmtId="3" fontId="94" fillId="0" borderId="6" xfId="0" applyNumberFormat="1" applyFont="1" applyFill="1" applyBorder="1" applyAlignment="1"/>
    <xf numFmtId="0" fontId="4" fillId="0" borderId="4" xfId="0" applyFont="1" applyFill="1" applyBorder="1" applyAlignment="1" applyProtection="1">
      <alignment horizontal="right"/>
    </xf>
    <xf numFmtId="8" fontId="4" fillId="0" borderId="0" xfId="3" applyFont="1" applyFill="1" applyBorder="1" applyAlignment="1" applyProtection="1">
      <alignment horizontal="right"/>
    </xf>
    <xf numFmtId="3" fontId="4" fillId="0" borderId="0" xfId="1" applyNumberFormat="1" applyFont="1" applyFill="1" applyBorder="1" applyAlignment="1" applyProtection="1">
      <alignment horizontal="center"/>
    </xf>
    <xf numFmtId="3" fontId="4" fillId="0" borderId="0" xfId="0" applyNumberFormat="1" applyFont="1" applyFill="1" applyBorder="1" applyAlignment="1" applyProtection="1">
      <alignment horizontal="right"/>
      <protection locked="0"/>
    </xf>
    <xf numFmtId="3" fontId="4" fillId="0" borderId="0" xfId="0" applyNumberFormat="1" applyFont="1" applyFill="1" applyBorder="1" applyProtection="1"/>
    <xf numFmtId="8" fontId="4" fillId="0" borderId="0" xfId="0" applyNumberFormat="1" applyFont="1" applyFill="1" applyBorder="1" applyProtection="1"/>
    <xf numFmtId="2" fontId="4" fillId="0" borderId="0" xfId="3" applyNumberFormat="1" applyFont="1" applyFill="1" applyBorder="1" applyProtection="1"/>
    <xf numFmtId="8" fontId="4" fillId="0" borderId="5" xfId="0" applyNumberFormat="1" applyFont="1" applyFill="1" applyBorder="1" applyProtection="1"/>
    <xf numFmtId="9" fontId="4" fillId="0" borderId="0" xfId="7" applyFont="1" applyFill="1" applyBorder="1" applyAlignment="1" applyProtection="1">
      <alignment horizontal="right"/>
    </xf>
    <xf numFmtId="0" fontId="5" fillId="0" borderId="4" xfId="0" applyFont="1" applyFill="1" applyBorder="1"/>
    <xf numFmtId="0" fontId="10" fillId="0" borderId="5" xfId="0" applyFont="1" applyFill="1" applyBorder="1" applyAlignment="1" applyProtection="1">
      <alignment horizontal="right"/>
    </xf>
    <xf numFmtId="3" fontId="94" fillId="0" borderId="3" xfId="0" applyNumberFormat="1" applyFont="1" applyFill="1" applyBorder="1" applyAlignment="1">
      <alignment horizontal="left"/>
    </xf>
    <xf numFmtId="0" fontId="22" fillId="0" borderId="0" xfId="0" applyFont="1" applyBorder="1"/>
    <xf numFmtId="0" fontId="4" fillId="0" borderId="0" xfId="0" applyFont="1" applyFill="1" applyBorder="1" applyAlignment="1">
      <alignment horizontal="left"/>
    </xf>
    <xf numFmtId="0" fontId="17" fillId="0" borderId="0" xfId="0" applyFont="1" applyAlignment="1">
      <alignment vertical="center"/>
    </xf>
    <xf numFmtId="0" fontId="5" fillId="0" borderId="4" xfId="0" applyFont="1" applyFill="1" applyBorder="1" applyProtection="1"/>
    <xf numFmtId="8" fontId="5" fillId="0" borderId="0" xfId="0" applyNumberFormat="1" applyFont="1" applyFill="1" applyBorder="1" applyAlignment="1" applyProtection="1">
      <alignment horizontal="right"/>
    </xf>
    <xf numFmtId="3" fontId="5" fillId="0" borderId="0" xfId="0" applyNumberFormat="1" applyFont="1" applyFill="1" applyBorder="1" applyProtection="1"/>
    <xf numFmtId="8" fontId="5" fillId="0" borderId="0" xfId="0" applyNumberFormat="1" applyFont="1" applyFill="1" applyBorder="1" applyProtection="1"/>
    <xf numFmtId="9" fontId="5" fillId="0" borderId="0" xfId="7" applyFont="1" applyFill="1" applyBorder="1" applyAlignment="1" applyProtection="1">
      <alignment horizontal="right"/>
    </xf>
    <xf numFmtId="8" fontId="5" fillId="0" borderId="5" xfId="0" applyNumberFormat="1" applyFont="1" applyFill="1" applyBorder="1" applyAlignment="1" applyProtection="1">
      <alignment horizontal="right"/>
    </xf>
    <xf numFmtId="3" fontId="5" fillId="6" borderId="0" xfId="0" applyNumberFormat="1" applyFont="1" applyFill="1" applyBorder="1" applyAlignment="1">
      <alignment horizontal="center"/>
    </xf>
    <xf numFmtId="0" fontId="5" fillId="6" borderId="5" xfId="0" applyFont="1" applyFill="1" applyBorder="1" applyAlignment="1">
      <alignment horizontal="center"/>
    </xf>
    <xf numFmtId="176" fontId="4" fillId="6" borderId="4" xfId="7" applyNumberFormat="1" applyFont="1" applyFill="1" applyBorder="1" applyAlignment="1"/>
    <xf numFmtId="176" fontId="4" fillId="6" borderId="4" xfId="7" applyNumberFormat="1" applyFont="1" applyFill="1" applyBorder="1" applyAlignment="1">
      <alignment wrapText="1"/>
    </xf>
    <xf numFmtId="10" fontId="4" fillId="6" borderId="0" xfId="7" applyNumberFormat="1" applyFont="1" applyFill="1" applyBorder="1"/>
    <xf numFmtId="0" fontId="4" fillId="6" borderId="5" xfId="0" applyFont="1" applyFill="1" applyBorder="1" applyAlignment="1">
      <alignment horizontal="center"/>
    </xf>
    <xf numFmtId="6" fontId="5" fillId="6" borderId="0" xfId="3" applyNumberFormat="1" applyFont="1" applyFill="1" applyBorder="1" applyAlignment="1">
      <alignment horizontal="center"/>
    </xf>
    <xf numFmtId="168" fontId="5" fillId="6" borderId="5" xfId="0" applyNumberFormat="1" applyFont="1" applyFill="1" applyBorder="1" applyAlignment="1">
      <alignment horizontal="center"/>
    </xf>
    <xf numFmtId="176" fontId="5" fillId="6" borderId="0" xfId="7" applyNumberFormat="1" applyFont="1" applyFill="1" applyBorder="1" applyAlignment="1">
      <alignment horizontal="center"/>
    </xf>
    <xf numFmtId="3" fontId="4" fillId="0" borderId="0" xfId="0" applyNumberFormat="1" applyFont="1" applyFill="1" applyBorder="1" applyAlignment="1">
      <alignment horizontal="center"/>
    </xf>
    <xf numFmtId="3" fontId="4" fillId="0" borderId="1" xfId="1" applyNumberFormat="1" applyFont="1" applyFill="1" applyBorder="1" applyAlignment="1">
      <alignment horizontal="center"/>
    </xf>
    <xf numFmtId="9" fontId="22" fillId="7" borderId="5" xfId="0" applyNumberFormat="1" applyFont="1" applyFill="1" applyBorder="1" applyAlignment="1" applyProtection="1">
      <alignment horizontal="center"/>
    </xf>
    <xf numFmtId="6" fontId="46" fillId="0" borderId="43" xfId="0" applyNumberFormat="1" applyFont="1" applyFill="1" applyBorder="1" applyProtection="1"/>
    <xf numFmtId="6" fontId="46" fillId="0" borderId="5" xfId="0" applyNumberFormat="1" applyFont="1" applyFill="1" applyBorder="1" applyProtection="1"/>
    <xf numFmtId="9" fontId="22" fillId="7" borderId="43" xfId="0" applyNumberFormat="1" applyFont="1" applyFill="1" applyBorder="1" applyAlignment="1" applyProtection="1">
      <alignment horizontal="center"/>
    </xf>
    <xf numFmtId="169" fontId="46" fillId="0" borderId="5" xfId="0" applyNumberFormat="1" applyFont="1" applyFill="1" applyBorder="1" applyAlignment="1" applyProtection="1"/>
    <xf numFmtId="169" fontId="46" fillId="0" borderId="5" xfId="0" applyNumberFormat="1" applyFont="1" applyFill="1" applyBorder="1" applyProtection="1"/>
    <xf numFmtId="0" fontId="22" fillId="0" borderId="43" xfId="0" applyFont="1" applyFill="1" applyBorder="1" applyProtection="1"/>
    <xf numFmtId="0" fontId="22" fillId="0" borderId="45" xfId="0" applyFont="1" applyFill="1" applyBorder="1" applyProtection="1"/>
    <xf numFmtId="6" fontId="46" fillId="0" borderId="5" xfId="0" applyNumberFormat="1" applyFont="1" applyFill="1" applyBorder="1" applyAlignment="1" applyProtection="1">
      <alignment horizontal="right"/>
    </xf>
    <xf numFmtId="0" fontId="22" fillId="7" borderId="4" xfId="0" applyFont="1" applyFill="1" applyBorder="1" applyAlignment="1" applyProtection="1">
      <alignment horizontal="center"/>
    </xf>
    <xf numFmtId="9" fontId="22" fillId="7" borderId="4" xfId="0" applyNumberFormat="1" applyFont="1" applyFill="1" applyBorder="1" applyAlignment="1" applyProtection="1">
      <alignment horizontal="center"/>
    </xf>
    <xf numFmtId="6" fontId="46" fillId="0" borderId="18" xfId="0" applyNumberFormat="1" applyFont="1" applyFill="1" applyBorder="1" applyProtection="1"/>
    <xf numFmtId="6" fontId="46" fillId="0" borderId="4" xfId="0" applyNumberFormat="1" applyFont="1" applyFill="1" applyBorder="1" applyProtection="1"/>
    <xf numFmtId="9" fontId="22" fillId="7" borderId="18" xfId="0" applyNumberFormat="1" applyFont="1" applyFill="1" applyBorder="1" applyAlignment="1" applyProtection="1">
      <alignment horizontal="center"/>
    </xf>
    <xf numFmtId="169" fontId="46" fillId="0" borderId="4" xfId="0" applyNumberFormat="1" applyFont="1" applyFill="1" applyBorder="1" applyAlignment="1" applyProtection="1"/>
    <xf numFmtId="169" fontId="46" fillId="0" borderId="4" xfId="0" applyNumberFormat="1" applyFont="1" applyFill="1" applyBorder="1" applyProtection="1"/>
    <xf numFmtId="0" fontId="22" fillId="0" borderId="18" xfId="0" applyFont="1" applyFill="1" applyBorder="1" applyProtection="1"/>
    <xf numFmtId="0" fontId="22" fillId="0" borderId="19" xfId="0" applyFont="1" applyFill="1" applyBorder="1" applyProtection="1"/>
    <xf numFmtId="9" fontId="22" fillId="7" borderId="18" xfId="0" applyNumberFormat="1" applyFont="1" applyFill="1" applyBorder="1" applyAlignment="1" applyProtection="1">
      <alignment horizontal="left"/>
    </xf>
    <xf numFmtId="9" fontId="22" fillId="7" borderId="43" xfId="0" applyNumberFormat="1" applyFont="1" applyFill="1" applyBorder="1" applyAlignment="1" applyProtection="1">
      <alignment horizontal="left"/>
    </xf>
    <xf numFmtId="6" fontId="46" fillId="0" borderId="4" xfId="0" applyNumberFormat="1" applyFont="1" applyFill="1" applyBorder="1" applyAlignment="1" applyProtection="1">
      <alignment horizontal="right"/>
    </xf>
    <xf numFmtId="6" fontId="22" fillId="7" borderId="17" xfId="0" applyNumberFormat="1" applyFont="1" applyFill="1" applyBorder="1" applyAlignment="1" applyProtection="1">
      <alignment horizontal="center"/>
    </xf>
    <xf numFmtId="0" fontId="22" fillId="7" borderId="56" xfId="0" applyFont="1" applyFill="1" applyBorder="1" applyAlignment="1" applyProtection="1">
      <alignment horizontal="center"/>
    </xf>
    <xf numFmtId="169" fontId="46" fillId="0" borderId="4" xfId="0" applyNumberFormat="1" applyFont="1" applyFill="1" applyBorder="1" applyAlignment="1" applyProtection="1">
      <alignment horizontal="right"/>
    </xf>
    <xf numFmtId="0" fontId="22" fillId="7" borderId="17" xfId="0" applyFont="1" applyFill="1" applyBorder="1" applyAlignment="1" applyProtection="1">
      <alignment horizontal="center"/>
    </xf>
    <xf numFmtId="0" fontId="4" fillId="0" borderId="0" xfId="0" applyFont="1" applyFill="1" applyBorder="1" applyAlignment="1" applyProtection="1">
      <alignment horizontal="center"/>
    </xf>
    <xf numFmtId="0" fontId="5" fillId="0" borderId="0" xfId="0" applyFont="1" applyFill="1" applyBorder="1" applyAlignment="1" applyProtection="1">
      <alignment horizontal="center"/>
    </xf>
    <xf numFmtId="0" fontId="4" fillId="0" borderId="0" xfId="0" applyFont="1" applyFill="1" applyBorder="1" applyAlignment="1" applyProtection="1">
      <alignment horizontal="left"/>
    </xf>
    <xf numFmtId="0" fontId="5" fillId="0" borderId="0" xfId="0" applyFont="1" applyFill="1" applyBorder="1" applyAlignment="1" applyProtection="1">
      <alignment horizontal="left"/>
    </xf>
    <xf numFmtId="3" fontId="4" fillId="0" borderId="0" xfId="1" applyNumberFormat="1" applyFont="1" applyFill="1" applyBorder="1" applyProtection="1"/>
    <xf numFmtId="3" fontId="5" fillId="0" borderId="0" xfId="1" applyNumberFormat="1" applyFont="1" applyFill="1" applyBorder="1" applyAlignment="1" applyProtection="1">
      <alignment horizontal="right"/>
    </xf>
    <xf numFmtId="166" fontId="4" fillId="0" borderId="0" xfId="0" applyNumberFormat="1" applyFont="1" applyFill="1" applyBorder="1" applyProtection="1"/>
    <xf numFmtId="0" fontId="5" fillId="0" borderId="0" xfId="0" applyFont="1" applyFill="1" applyBorder="1" applyAlignment="1" applyProtection="1"/>
    <xf numFmtId="3" fontId="5" fillId="0" borderId="0" xfId="0" applyNumberFormat="1" applyFont="1" applyFill="1" applyBorder="1" applyAlignment="1" applyProtection="1">
      <alignment horizontal="center"/>
    </xf>
    <xf numFmtId="10" fontId="5" fillId="0" borderId="0" xfId="0" applyNumberFormat="1" applyFont="1" applyFill="1" applyBorder="1" applyAlignment="1" applyProtection="1">
      <alignment horizontal="center"/>
    </xf>
    <xf numFmtId="3" fontId="5" fillId="0" borderId="0" xfId="0" quotePrefix="1" applyNumberFormat="1" applyFont="1" applyFill="1" applyBorder="1" applyProtection="1"/>
    <xf numFmtId="0" fontId="73" fillId="0" borderId="0" xfId="0" applyFont="1" applyFill="1" applyBorder="1" applyAlignment="1" applyProtection="1">
      <alignment horizontal="left" indent="1"/>
    </xf>
    <xf numFmtId="0" fontId="72" fillId="0" borderId="0" xfId="0" applyFont="1" applyFill="1" applyBorder="1" applyAlignment="1" applyProtection="1">
      <alignment horizontal="left" indent="1"/>
    </xf>
    <xf numFmtId="3" fontId="4" fillId="0" borderId="0" xfId="0" applyNumberFormat="1" applyFont="1" applyFill="1" applyBorder="1" applyAlignment="1" applyProtection="1">
      <alignment horizontal="left"/>
    </xf>
    <xf numFmtId="3" fontId="4" fillId="0" borderId="0" xfId="0" applyNumberFormat="1" applyFont="1" applyFill="1" applyBorder="1" applyAlignment="1" applyProtection="1">
      <alignment horizontal="center"/>
    </xf>
    <xf numFmtId="1" fontId="4" fillId="0" borderId="0" xfId="0" applyNumberFormat="1" applyFont="1" applyFill="1" applyBorder="1" applyProtection="1"/>
    <xf numFmtId="9" fontId="4" fillId="0" borderId="0" xfId="7" applyFont="1" applyFill="1" applyBorder="1" applyProtection="1"/>
    <xf numFmtId="0" fontId="43" fillId="0" borderId="0" xfId="0" applyFont="1" applyFill="1" applyBorder="1" applyAlignment="1" applyProtection="1">
      <alignment horizontal="left"/>
    </xf>
    <xf numFmtId="0" fontId="43" fillId="0" borderId="0" xfId="0" applyFont="1" applyFill="1" applyBorder="1" applyAlignment="1" applyProtection="1">
      <alignment horizontal="center"/>
    </xf>
    <xf numFmtId="0" fontId="85" fillId="0" borderId="0" xfId="0" applyFont="1" applyFill="1" applyBorder="1" applyProtection="1"/>
    <xf numFmtId="0" fontId="76" fillId="0" borderId="0" xfId="0" applyFont="1" applyFill="1" applyBorder="1" applyProtection="1"/>
    <xf numFmtId="3" fontId="4" fillId="0" borderId="0" xfId="0" applyNumberFormat="1" applyFont="1" applyFill="1" applyBorder="1" applyAlignment="1" applyProtection="1"/>
    <xf numFmtId="0" fontId="15" fillId="0" borderId="0" xfId="0" applyFont="1" applyFill="1" applyBorder="1" applyAlignment="1" applyProtection="1"/>
    <xf numFmtId="3" fontId="5" fillId="0" borderId="0" xfId="0" applyNumberFormat="1" applyFont="1" applyFill="1" applyBorder="1" applyAlignment="1" applyProtection="1">
      <alignment horizontal="left"/>
    </xf>
    <xf numFmtId="0" fontId="15" fillId="0" borderId="0" xfId="0" applyFont="1" applyFill="1" applyBorder="1" applyAlignment="1" applyProtection="1">
      <alignment horizontal="right"/>
    </xf>
    <xf numFmtId="0" fontId="22" fillId="0" borderId="0" xfId="0" applyFont="1" applyFill="1" applyBorder="1"/>
    <xf numFmtId="0" fontId="14" fillId="0" borderId="0" xfId="0" applyFont="1" applyFill="1" applyBorder="1" applyAlignment="1">
      <alignment horizontal="right"/>
    </xf>
    <xf numFmtId="16" fontId="14" fillId="0" borderId="0" xfId="0" quotePrefix="1" applyNumberFormat="1" applyFont="1" applyFill="1" applyBorder="1"/>
    <xf numFmtId="0" fontId="14" fillId="0" borderId="0" xfId="0" quotePrefix="1" applyFont="1" applyFill="1" applyBorder="1"/>
    <xf numFmtId="0" fontId="14" fillId="0" borderId="0" xfId="0" applyFont="1" applyFill="1" applyBorder="1" applyAlignment="1">
      <alignment horizontal="center"/>
    </xf>
    <xf numFmtId="10" fontId="14" fillId="0" borderId="0" xfId="0" applyNumberFormat="1" applyFont="1" applyFill="1" applyBorder="1"/>
    <xf numFmtId="0" fontId="14" fillId="0" borderId="0" xfId="5" applyFont="1" applyFill="1" applyBorder="1" applyAlignment="1" applyProtection="1"/>
    <xf numFmtId="0" fontId="14" fillId="0" borderId="0" xfId="0" applyFont="1" applyFill="1" applyBorder="1" applyAlignment="1"/>
    <xf numFmtId="0" fontId="46" fillId="0" borderId="0" xfId="0" applyFont="1" applyFill="1" applyBorder="1"/>
    <xf numFmtId="0" fontId="15" fillId="0" borderId="0" xfId="0" applyFont="1" applyFill="1" applyBorder="1"/>
    <xf numFmtId="3" fontId="94" fillId="15" borderId="0" xfId="0" applyNumberFormat="1" applyFont="1" applyFill="1" applyBorder="1" applyAlignment="1" applyProtection="1">
      <alignment horizontal="center"/>
      <protection locked="0"/>
    </xf>
    <xf numFmtId="0" fontId="5" fillId="0" borderId="6" xfId="0" applyFont="1" applyBorder="1" applyAlignment="1">
      <alignment horizontal="center"/>
    </xf>
    <xf numFmtId="3" fontId="5" fillId="0" borderId="6" xfId="0" applyNumberFormat="1" applyFont="1" applyBorder="1" applyAlignment="1">
      <alignment horizontal="center"/>
    </xf>
    <xf numFmtId="0" fontId="105" fillId="0" borderId="0" xfId="0" applyFont="1" applyFill="1" applyBorder="1" applyAlignment="1"/>
    <xf numFmtId="176" fontId="106" fillId="0" borderId="0" xfId="7" applyNumberFormat="1" applyFont="1" applyFill="1" applyBorder="1" applyAlignment="1"/>
    <xf numFmtId="3" fontId="105" fillId="0" borderId="0" xfId="0" applyNumberFormat="1" applyFont="1" applyFill="1" applyBorder="1" applyAlignment="1">
      <alignment horizontal="right"/>
    </xf>
    <xf numFmtId="3" fontId="104" fillId="0" borderId="0" xfId="0" applyNumberFormat="1" applyFont="1" applyBorder="1" applyAlignment="1">
      <alignment horizontal="right"/>
    </xf>
    <xf numFmtId="0" fontId="104" fillId="0" borderId="4" xfId="0" applyFont="1" applyBorder="1" applyAlignment="1">
      <alignment horizontal="right"/>
    </xf>
    <xf numFmtId="0" fontId="105" fillId="0" borderId="0" xfId="0" applyFont="1" applyFill="1" applyBorder="1" applyAlignment="1">
      <alignment horizontal="center"/>
    </xf>
    <xf numFmtId="3" fontId="9" fillId="0" borderId="3" xfId="0" applyNumberFormat="1" applyFont="1" applyBorder="1" applyAlignment="1">
      <alignment horizontal="right"/>
    </xf>
    <xf numFmtId="0" fontId="9" fillId="0" borderId="0" xfId="0" applyFont="1" applyFill="1" applyBorder="1"/>
    <xf numFmtId="10" fontId="9" fillId="0" borderId="0" xfId="7" applyNumberFormat="1" applyFont="1" applyFill="1" applyBorder="1"/>
    <xf numFmtId="3" fontId="9" fillId="0" borderId="0" xfId="0" applyNumberFormat="1" applyFont="1" applyFill="1" applyBorder="1" applyAlignment="1"/>
    <xf numFmtId="10" fontId="9" fillId="0" borderId="0" xfId="7" applyNumberFormat="1" applyFont="1" applyFill="1" applyBorder="1" applyAlignment="1"/>
    <xf numFmtId="0" fontId="10" fillId="0" borderId="0" xfId="0" applyFont="1" applyFill="1" applyBorder="1"/>
    <xf numFmtId="3" fontId="10" fillId="0" borderId="0" xfId="0" applyNumberFormat="1" applyFont="1" applyFill="1" applyBorder="1" applyAlignment="1"/>
    <xf numFmtId="4" fontId="4" fillId="0" borderId="0" xfId="0" applyNumberFormat="1" applyFont="1" applyFill="1" applyBorder="1"/>
    <xf numFmtId="1" fontId="9" fillId="0" borderId="0" xfId="0" applyNumberFormat="1" applyFont="1" applyFill="1" applyBorder="1"/>
    <xf numFmtId="3" fontId="60" fillId="0" borderId="0" xfId="0" applyNumberFormat="1" applyFont="1" applyFill="1" applyBorder="1"/>
    <xf numFmtId="171" fontId="4" fillId="0" borderId="0" xfId="0" applyNumberFormat="1" applyFont="1" applyBorder="1" applyAlignment="1"/>
    <xf numFmtId="0" fontId="6" fillId="0" borderId="0" xfId="0" applyFont="1" applyFill="1" applyBorder="1" applyAlignment="1"/>
    <xf numFmtId="0" fontId="44" fillId="0" borderId="0" xfId="0" applyFont="1" applyFill="1" applyBorder="1" applyAlignment="1"/>
    <xf numFmtId="168" fontId="4" fillId="0" borderId="43" xfId="0" applyNumberFormat="1" applyFont="1" applyBorder="1" applyAlignment="1"/>
    <xf numFmtId="3" fontId="5" fillId="0" borderId="9" xfId="0" applyNumberFormat="1" applyFont="1" applyBorder="1"/>
    <xf numFmtId="170" fontId="78" fillId="0" borderId="9" xfId="0" quotePrefix="1" applyNumberFormat="1" applyFont="1" applyBorder="1" applyAlignment="1">
      <alignment horizontal="left"/>
    </xf>
    <xf numFmtId="3" fontId="4" fillId="0" borderId="1" xfId="0" applyNumberFormat="1" applyFont="1" applyBorder="1"/>
    <xf numFmtId="3" fontId="4" fillId="0" borderId="3" xfId="0" applyNumberFormat="1" applyFont="1" applyBorder="1"/>
    <xf numFmtId="176" fontId="4" fillId="6" borderId="0" xfId="7" applyNumberFormat="1" applyFont="1" applyFill="1" applyBorder="1" applyAlignment="1">
      <alignment wrapText="1"/>
    </xf>
    <xf numFmtId="169" fontId="5" fillId="6" borderId="16" xfId="0" applyNumberFormat="1" applyFont="1" applyFill="1" applyBorder="1" applyAlignment="1">
      <alignment horizontal="right"/>
    </xf>
    <xf numFmtId="3" fontId="105" fillId="0" borderId="0" xfId="1" applyNumberFormat="1" applyFont="1" applyFill="1" applyBorder="1" applyAlignment="1"/>
    <xf numFmtId="3" fontId="105" fillId="0" borderId="0" xfId="0" applyNumberFormat="1" applyFont="1" applyFill="1" applyBorder="1" applyAlignment="1"/>
    <xf numFmtId="3" fontId="4" fillId="0" borderId="13" xfId="0" applyNumberFormat="1" applyFont="1" applyFill="1" applyBorder="1" applyAlignment="1"/>
    <xf numFmtId="3" fontId="4" fillId="0" borderId="13" xfId="0" applyNumberFormat="1" applyFont="1" applyBorder="1"/>
    <xf numFmtId="3" fontId="4" fillId="0" borderId="13" xfId="0" applyNumberFormat="1" applyFont="1" applyBorder="1" applyAlignment="1"/>
    <xf numFmtId="4" fontId="93" fillId="0" borderId="0" xfId="0" applyNumberFormat="1" applyFont="1" applyBorder="1" applyAlignment="1"/>
    <xf numFmtId="0" fontId="44" fillId="7" borderId="45" xfId="0" applyFont="1" applyFill="1" applyBorder="1" applyAlignment="1" applyProtection="1">
      <alignment horizontal="right"/>
    </xf>
    <xf numFmtId="3" fontId="4" fillId="0" borderId="1" xfId="1" applyNumberFormat="1" applyFont="1" applyFill="1" applyBorder="1" applyAlignment="1">
      <alignment horizontal="right"/>
    </xf>
    <xf numFmtId="169" fontId="4" fillId="0" borderId="0" xfId="0" quotePrefix="1" applyNumberFormat="1" applyFont="1" applyFill="1" applyBorder="1"/>
    <xf numFmtId="0" fontId="0" fillId="0" borderId="0" xfId="0" applyFont="1" applyFill="1" applyBorder="1" applyAlignment="1"/>
    <xf numFmtId="0" fontId="4" fillId="0" borderId="0" xfId="0" applyFont="1" applyFill="1" applyBorder="1" applyAlignment="1">
      <alignment wrapText="1"/>
    </xf>
    <xf numFmtId="3" fontId="5" fillId="0" borderId="13" xfId="0" applyNumberFormat="1" applyFont="1" applyBorder="1"/>
    <xf numFmtId="3" fontId="4" fillId="0" borderId="13" xfId="1" applyNumberFormat="1" applyFont="1" applyBorder="1"/>
    <xf numFmtId="3" fontId="4" fillId="0" borderId="13" xfId="1" applyNumberFormat="1" applyFont="1" applyBorder="1" applyAlignment="1"/>
    <xf numFmtId="3" fontId="5" fillId="0" borderId="6" xfId="1" applyNumberFormat="1" applyFont="1" applyBorder="1" applyAlignment="1"/>
    <xf numFmtId="6" fontId="5" fillId="6" borderId="0" xfId="0" applyNumberFormat="1" applyFont="1" applyFill="1" applyBorder="1" applyAlignment="1"/>
    <xf numFmtId="10" fontId="72" fillId="6" borderId="0" xfId="7" applyNumberFormat="1" applyFont="1" applyFill="1" applyBorder="1" applyAlignment="1"/>
    <xf numFmtId="0" fontId="72" fillId="0" borderId="0" xfId="0" applyFont="1" applyFill="1" applyBorder="1" applyAlignment="1"/>
    <xf numFmtId="0" fontId="6" fillId="0" borderId="4" xfId="0" applyFont="1" applyFill="1" applyBorder="1" applyAlignment="1">
      <alignment horizontal="left"/>
    </xf>
    <xf numFmtId="0" fontId="78" fillId="0" borderId="0" xfId="0" applyFont="1"/>
    <xf numFmtId="3" fontId="78" fillId="0" borderId="0" xfId="0" applyNumberFormat="1" applyFont="1" applyBorder="1"/>
    <xf numFmtId="3" fontId="4" fillId="0" borderId="6" xfId="1" applyNumberFormat="1" applyFont="1" applyFill="1" applyBorder="1" applyAlignment="1"/>
    <xf numFmtId="0" fontId="4" fillId="0" borderId="0" xfId="0" applyFont="1" applyFill="1"/>
    <xf numFmtId="0" fontId="9" fillId="0" borderId="0" xfId="0" applyFont="1" applyFill="1" applyBorder="1" applyAlignment="1"/>
    <xf numFmtId="0" fontId="4" fillId="0" borderId="21" xfId="0" applyFont="1" applyBorder="1" applyAlignment="1"/>
    <xf numFmtId="0" fontId="4" fillId="0" borderId="16" xfId="0" applyFont="1" applyBorder="1"/>
    <xf numFmtId="3" fontId="4" fillId="0" borderId="16" xfId="0" applyNumberFormat="1" applyFont="1" applyBorder="1"/>
    <xf numFmtId="3" fontId="4" fillId="0" borderId="16" xfId="0" applyNumberFormat="1" applyFont="1" applyBorder="1" applyAlignment="1"/>
    <xf numFmtId="0" fontId="4" fillId="0" borderId="16" xfId="0" applyFont="1" applyBorder="1" applyAlignment="1"/>
    <xf numFmtId="3" fontId="4" fillId="0" borderId="16" xfId="0" applyNumberFormat="1" applyFont="1" applyBorder="1" applyAlignment="1">
      <alignment horizontal="right"/>
    </xf>
    <xf numFmtId="0" fontId="4" fillId="0" borderId="42" xfId="0" applyFont="1" applyBorder="1" applyAlignment="1"/>
    <xf numFmtId="0" fontId="9" fillId="6" borderId="16" xfId="0" applyFont="1" applyFill="1" applyBorder="1" applyAlignment="1"/>
    <xf numFmtId="0" fontId="4" fillId="6" borderId="16" xfId="0" applyFont="1" applyFill="1" applyBorder="1"/>
    <xf numFmtId="0" fontId="4" fillId="6" borderId="21" xfId="0" applyFont="1" applyFill="1" applyBorder="1" applyAlignment="1"/>
    <xf numFmtId="0" fontId="4" fillId="6" borderId="16" xfId="0" applyFont="1" applyFill="1" applyBorder="1" applyAlignment="1"/>
    <xf numFmtId="9" fontId="4" fillId="0" borderId="51" xfId="7" applyFont="1" applyFill="1" applyBorder="1" applyAlignment="1">
      <alignment wrapText="1"/>
    </xf>
    <xf numFmtId="6" fontId="5" fillId="0" borderId="0" xfId="0" applyNumberFormat="1" applyFont="1" applyBorder="1" applyAlignment="1">
      <alignment horizontal="centerContinuous"/>
    </xf>
    <xf numFmtId="6" fontId="5" fillId="0" borderId="0" xfId="0" applyNumberFormat="1" applyFont="1" applyBorder="1" applyAlignment="1">
      <alignment horizontal="center"/>
    </xf>
    <xf numFmtId="6" fontId="4" fillId="3" borderId="7" xfId="0" applyNumberFormat="1" applyFont="1" applyFill="1" applyBorder="1"/>
    <xf numFmtId="10" fontId="4" fillId="0" borderId="0" xfId="0" applyNumberFormat="1" applyFont="1" applyBorder="1"/>
    <xf numFmtId="8" fontId="4" fillId="0" borderId="0" xfId="3" applyFont="1" applyBorder="1"/>
    <xf numFmtId="169" fontId="5" fillId="6" borderId="16" xfId="0" applyNumberFormat="1" applyFont="1" applyFill="1" applyBorder="1"/>
    <xf numFmtId="3" fontId="4" fillId="0" borderId="5" xfId="1" applyNumberFormat="1" applyFont="1" applyFill="1" applyBorder="1" applyAlignment="1">
      <alignment horizontal="right"/>
    </xf>
    <xf numFmtId="6" fontId="14" fillId="0" borderId="16" xfId="3" applyNumberFormat="1" applyFont="1" applyBorder="1" applyProtection="1"/>
    <xf numFmtId="6" fontId="14" fillId="0" borderId="54" xfId="3" applyNumberFormat="1" applyFont="1" applyBorder="1" applyProtection="1"/>
    <xf numFmtId="10" fontId="14" fillId="0" borderId="16" xfId="3" applyNumberFormat="1" applyFont="1" applyBorder="1" applyProtection="1"/>
    <xf numFmtId="0" fontId="5" fillId="0" borderId="4" xfId="0" applyFont="1" applyBorder="1" applyAlignment="1">
      <alignment horizontal="center"/>
    </xf>
    <xf numFmtId="0" fontId="5" fillId="0" borderId="0" xfId="0" applyFont="1" applyBorder="1" applyAlignment="1">
      <alignment horizontal="center"/>
    </xf>
    <xf numFmtId="0" fontId="5" fillId="0" borderId="5" xfId="0" applyFont="1" applyBorder="1" applyAlignment="1">
      <alignment horizontal="center"/>
    </xf>
    <xf numFmtId="0" fontId="9" fillId="4" borderId="0" xfId="6" applyFont="1" applyFill="1" applyAlignment="1">
      <alignment horizontal="center" vertical="top"/>
    </xf>
    <xf numFmtId="0" fontId="9" fillId="4" borderId="16" xfId="6" applyFont="1" applyFill="1" applyBorder="1" applyAlignment="1">
      <alignment horizontal="center" vertical="top"/>
    </xf>
    <xf numFmtId="0" fontId="14" fillId="4" borderId="0" xfId="6" applyFont="1" applyFill="1" applyBorder="1" applyAlignment="1">
      <alignment horizontal="left"/>
    </xf>
    <xf numFmtId="0" fontId="15" fillId="4" borderId="0" xfId="6" applyFont="1" applyFill="1" applyBorder="1" applyAlignment="1">
      <alignment horizontal="left"/>
    </xf>
    <xf numFmtId="0" fontId="4" fillId="11" borderId="6" xfId="6" applyFont="1" applyFill="1" applyBorder="1" applyAlignment="1">
      <alignment horizontal="left" vertical="center"/>
    </xf>
    <xf numFmtId="0" fontId="4" fillId="11" borderId="0" xfId="6" applyFont="1" applyFill="1" applyBorder="1" applyAlignment="1">
      <alignment horizontal="left"/>
    </xf>
    <xf numFmtId="0" fontId="4" fillId="4" borderId="0" xfId="0" applyFont="1" applyFill="1" applyBorder="1" applyAlignment="1" applyProtection="1">
      <alignment horizontal="left" vertical="center"/>
    </xf>
    <xf numFmtId="0" fontId="4" fillId="4" borderId="6" xfId="0" applyFont="1" applyFill="1" applyBorder="1" applyAlignment="1" applyProtection="1">
      <alignment horizontal="left" vertical="center"/>
    </xf>
    <xf numFmtId="0" fontId="78" fillId="5" borderId="0" xfId="0" applyFont="1" applyFill="1" applyBorder="1" applyAlignment="1">
      <alignment horizontal="center" shrinkToFit="1"/>
    </xf>
    <xf numFmtId="0" fontId="86" fillId="0" borderId="0" xfId="0" applyNumberFormat="1" applyFont="1" applyAlignment="1">
      <alignment horizontal="left" wrapText="1"/>
    </xf>
    <xf numFmtId="0" fontId="15" fillId="6" borderId="51" xfId="0" applyFont="1" applyFill="1" applyBorder="1" applyAlignment="1" applyProtection="1">
      <alignment horizontal="center"/>
    </xf>
    <xf numFmtId="0" fontId="15" fillId="6" borderId="0" xfId="0" applyFont="1" applyFill="1" applyBorder="1" applyAlignment="1" applyProtection="1">
      <alignment horizontal="center"/>
    </xf>
    <xf numFmtId="0" fontId="5" fillId="0" borderId="51" xfId="0" applyFont="1" applyBorder="1" applyAlignment="1">
      <alignment horizontal="center"/>
    </xf>
    <xf numFmtId="0" fontId="22" fillId="6" borderId="13" xfId="0" applyFont="1" applyFill="1" applyBorder="1" applyAlignment="1">
      <alignment horizontal="center"/>
    </xf>
    <xf numFmtId="0" fontId="14" fillId="0" borderId="0" xfId="0" applyFont="1" applyAlignment="1">
      <alignment horizontal="left" vertical="center" wrapText="1"/>
    </xf>
    <xf numFmtId="0" fontId="1" fillId="0" borderId="0" xfId="8"/>
    <xf numFmtId="0" fontId="109" fillId="0" borderId="0" xfId="8" applyFont="1" applyAlignment="1">
      <alignment horizontal="center"/>
    </xf>
    <xf numFmtId="0" fontId="110" fillId="0" borderId="0" xfId="8" applyFont="1" applyAlignment="1">
      <alignment vertical="top"/>
    </xf>
    <xf numFmtId="0" fontId="110" fillId="0" borderId="0" xfId="8" applyFont="1" applyAlignment="1">
      <alignment horizontal="right"/>
    </xf>
    <xf numFmtId="0" fontId="110" fillId="0" borderId="0" xfId="8" applyFont="1"/>
    <xf numFmtId="0" fontId="111" fillId="0" borderId="35" xfId="8" applyFont="1" applyBorder="1" applyAlignment="1">
      <alignment horizontal="center" vertical="top" wrapText="1"/>
    </xf>
    <xf numFmtId="0" fontId="111" fillId="0" borderId="34" xfId="8" applyFont="1" applyBorder="1" applyAlignment="1">
      <alignment vertical="top"/>
    </xf>
    <xf numFmtId="0" fontId="110" fillId="0" borderId="33" xfId="8" applyFont="1" applyBorder="1" applyAlignment="1">
      <alignment vertical="top"/>
    </xf>
    <xf numFmtId="0" fontId="1" fillId="0" borderId="0" xfId="8" applyAlignment="1">
      <alignment vertical="top"/>
    </xf>
    <xf numFmtId="0" fontId="111" fillId="0" borderId="32" xfId="8" applyFont="1" applyBorder="1" applyAlignment="1">
      <alignment horizontal="center" vertical="top"/>
    </xf>
    <xf numFmtId="0" fontId="110" fillId="0" borderId="31" xfId="8" applyFont="1" applyBorder="1" applyAlignment="1">
      <alignment horizontal="center" vertical="top"/>
    </xf>
    <xf numFmtId="0" fontId="110" fillId="0" borderId="31" xfId="8" applyFont="1" applyBorder="1" applyAlignment="1">
      <alignment vertical="top" wrapText="1"/>
    </xf>
    <xf numFmtId="0" fontId="110" fillId="0" borderId="30" xfId="8" applyFont="1" applyBorder="1" applyAlignment="1">
      <alignment vertical="top"/>
    </xf>
    <xf numFmtId="0" fontId="110" fillId="0" borderId="31" xfId="8" applyFont="1" applyBorder="1" applyAlignment="1">
      <alignment vertical="top"/>
    </xf>
    <xf numFmtId="0" fontId="111" fillId="0" borderId="31" xfId="8" applyFont="1" applyBorder="1" applyAlignment="1">
      <alignment vertical="top"/>
    </xf>
    <xf numFmtId="0" fontId="111" fillId="0" borderId="30" xfId="8" applyFont="1" applyBorder="1" applyAlignment="1">
      <alignment vertical="top"/>
    </xf>
    <xf numFmtId="0" fontId="111" fillId="0" borderId="31" xfId="8" applyFont="1" applyBorder="1" applyAlignment="1">
      <alignment vertical="top" wrapText="1"/>
    </xf>
    <xf numFmtId="6" fontId="110" fillId="0" borderId="31" xfId="8" applyNumberFormat="1" applyFont="1" applyBorder="1" applyAlignment="1">
      <alignment horizontal="center" vertical="top"/>
    </xf>
    <xf numFmtId="0" fontId="110" fillId="0" borderId="0" xfId="8" applyFont="1" applyAlignment="1">
      <alignment vertical="top" wrapText="1"/>
    </xf>
    <xf numFmtId="0" fontId="111" fillId="0" borderId="29" xfId="8" applyFont="1" applyBorder="1" applyAlignment="1">
      <alignment horizontal="center" vertical="top" wrapText="1"/>
    </xf>
    <xf numFmtId="0" fontId="110" fillId="0" borderId="28" xfId="8" applyFont="1" applyBorder="1" applyAlignment="1">
      <alignment horizontal="center" vertical="top" wrapText="1"/>
    </xf>
    <xf numFmtId="0" fontId="110" fillId="0" borderId="51" xfId="8" applyFont="1" applyBorder="1" applyAlignment="1">
      <alignment vertical="top" wrapText="1"/>
    </xf>
    <xf numFmtId="0" fontId="110" fillId="0" borderId="50" xfId="8" applyFont="1" applyBorder="1" applyAlignment="1">
      <alignment vertical="top" wrapText="1"/>
    </xf>
    <xf numFmtId="0" fontId="110" fillId="14" borderId="31" xfId="8" applyFont="1" applyFill="1" applyBorder="1" applyAlignment="1">
      <alignment horizontal="center" vertical="top"/>
    </xf>
    <xf numFmtId="0" fontId="110" fillId="14" borderId="34" xfId="8" applyFont="1" applyFill="1" applyBorder="1" applyAlignment="1">
      <alignment horizontal="center" vertical="top" wrapText="1"/>
    </xf>
    <xf numFmtId="0" fontId="110" fillId="14" borderId="34" xfId="8" applyFont="1" applyFill="1" applyBorder="1" applyAlignment="1">
      <alignment horizontal="center" vertical="top"/>
    </xf>
    <xf numFmtId="6" fontId="111" fillId="0" borderId="35" xfId="3" applyNumberFormat="1" applyFont="1" applyBorder="1" applyAlignment="1">
      <alignment horizontal="center" vertical="top" wrapText="1"/>
    </xf>
    <xf numFmtId="0" fontId="110" fillId="0" borderId="50" xfId="8" applyFont="1" applyBorder="1" applyAlignment="1">
      <alignment wrapText="1"/>
    </xf>
    <xf numFmtId="0" fontId="110" fillId="0" borderId="51" xfId="8" applyFont="1" applyBorder="1" applyAlignment="1">
      <alignment wrapText="1"/>
    </xf>
    <xf numFmtId="0" fontId="110" fillId="14" borderId="28" xfId="8" applyFont="1" applyFill="1" applyBorder="1" applyAlignment="1">
      <alignment horizontal="center" wrapText="1"/>
    </xf>
    <xf numFmtId="0" fontId="111" fillId="0" borderId="29" xfId="8" applyFont="1" applyBorder="1" applyAlignment="1">
      <alignment horizontal="center" wrapText="1"/>
    </xf>
    <xf numFmtId="0" fontId="110" fillId="0" borderId="0" xfId="8" applyFont="1" applyAlignment="1">
      <alignment wrapText="1"/>
    </xf>
    <xf numFmtId="0" fontId="93" fillId="15" borderId="0" xfId="0" applyFont="1" applyFill="1" applyBorder="1" applyAlignment="1">
      <alignment horizontal="left"/>
    </xf>
    <xf numFmtId="0" fontId="5" fillId="0" borderId="0" xfId="0" applyFont="1" applyBorder="1" applyAlignment="1">
      <alignment horizontal="center"/>
    </xf>
    <xf numFmtId="3" fontId="94" fillId="5" borderId="0" xfId="0" applyNumberFormat="1" applyFont="1" applyFill="1" applyBorder="1" applyAlignment="1">
      <alignment horizontal="left"/>
    </xf>
    <xf numFmtId="0" fontId="101" fillId="0" borderId="0" xfId="0" applyFont="1" applyBorder="1" applyAlignment="1"/>
    <xf numFmtId="0" fontId="102" fillId="15" borderId="0" xfId="0" applyFont="1" applyFill="1" applyBorder="1" applyAlignment="1">
      <alignment horizontal="center" shrinkToFit="1"/>
    </xf>
    <xf numFmtId="0" fontId="102" fillId="15" borderId="0" xfId="0" applyFont="1" applyFill="1" applyBorder="1" applyAlignment="1">
      <alignment horizontal="left" shrinkToFit="1"/>
    </xf>
    <xf numFmtId="0" fontId="102" fillId="15" borderId="1" xfId="0" applyFont="1" applyFill="1" applyBorder="1" applyAlignment="1">
      <alignment horizontal="center" shrinkToFit="1"/>
    </xf>
    <xf numFmtId="0" fontId="5" fillId="0" borderId="4" xfId="0" applyFont="1" applyBorder="1" applyAlignment="1">
      <alignment horizontal="center"/>
    </xf>
    <xf numFmtId="0" fontId="5" fillId="0" borderId="5" xfId="0" applyFont="1" applyBorder="1" applyAlignment="1">
      <alignment horizontal="center"/>
    </xf>
    <xf numFmtId="0" fontId="46" fillId="0" borderId="0" xfId="0" applyFont="1" applyFill="1" applyBorder="1" applyAlignment="1" applyProtection="1">
      <alignment horizontal="center"/>
    </xf>
    <xf numFmtId="3" fontId="78" fillId="5" borderId="4" xfId="0" applyNumberFormat="1" applyFont="1" applyFill="1" applyBorder="1" applyAlignment="1">
      <alignment horizontal="left"/>
    </xf>
    <xf numFmtId="3" fontId="78" fillId="5" borderId="0" xfId="0" applyNumberFormat="1" applyFont="1" applyFill="1" applyBorder="1" applyAlignment="1">
      <alignment horizontal="left"/>
    </xf>
    <xf numFmtId="3" fontId="78" fillId="5" borderId="2" xfId="0" applyNumberFormat="1" applyFont="1" applyFill="1" applyBorder="1" applyAlignment="1">
      <alignment horizontal="center"/>
    </xf>
    <xf numFmtId="3" fontId="78" fillId="5" borderId="1" xfId="0" applyNumberFormat="1" applyFont="1" applyFill="1" applyBorder="1" applyAlignment="1">
      <alignment horizontal="center"/>
    </xf>
    <xf numFmtId="3" fontId="78" fillId="5" borderId="10" xfId="0" applyNumberFormat="1" applyFont="1" applyFill="1" applyBorder="1" applyAlignment="1">
      <alignment horizontal="center"/>
    </xf>
    <xf numFmtId="3" fontId="78" fillId="5" borderId="6" xfId="0" applyNumberFormat="1" applyFont="1" applyFill="1" applyBorder="1" applyAlignment="1">
      <alignment horizontal="center"/>
    </xf>
    <xf numFmtId="0" fontId="22" fillId="6" borderId="18" xfId="0" applyFont="1" applyFill="1" applyBorder="1" applyAlignment="1" applyProtection="1">
      <alignment horizontal="center"/>
    </xf>
    <xf numFmtId="0" fontId="22" fillId="6" borderId="13" xfId="0" applyFont="1" applyFill="1" applyBorder="1" applyAlignment="1" applyProtection="1">
      <alignment horizontal="center"/>
    </xf>
    <xf numFmtId="0" fontId="22" fillId="6" borderId="2" xfId="0" applyFont="1" applyFill="1" applyBorder="1" applyAlignment="1" applyProtection="1">
      <alignment horizontal="center"/>
    </xf>
    <xf numFmtId="0" fontId="22" fillId="6" borderId="3" xfId="0" applyFont="1" applyFill="1" applyBorder="1" applyAlignment="1" applyProtection="1">
      <alignment horizontal="center"/>
    </xf>
    <xf numFmtId="0" fontId="22" fillId="6" borderId="10" xfId="0" applyFont="1" applyFill="1" applyBorder="1" applyAlignment="1">
      <alignment horizontal="center"/>
    </xf>
    <xf numFmtId="0" fontId="22" fillId="6" borderId="9" xfId="0" applyFont="1" applyFill="1" applyBorder="1" applyAlignment="1">
      <alignment horizontal="center"/>
    </xf>
    <xf numFmtId="0" fontId="22" fillId="6" borderId="1" xfId="0" applyFont="1" applyFill="1" applyBorder="1" applyAlignment="1" applyProtection="1">
      <alignment horizontal="center"/>
    </xf>
    <xf numFmtId="3" fontId="22" fillId="6" borderId="10" xfId="0" applyNumberFormat="1" applyFont="1" applyFill="1" applyBorder="1" applyAlignment="1">
      <alignment horizontal="center"/>
    </xf>
    <xf numFmtId="3" fontId="22" fillId="6" borderId="6" xfId="0" applyNumberFormat="1" applyFont="1" applyFill="1" applyBorder="1" applyAlignment="1">
      <alignment horizontal="center"/>
    </xf>
    <xf numFmtId="3" fontId="22" fillId="6" borderId="9" xfId="0" applyNumberFormat="1" applyFont="1" applyFill="1" applyBorder="1" applyAlignment="1">
      <alignment horizontal="center"/>
    </xf>
    <xf numFmtId="0" fontId="9" fillId="4" borderId="4" xfId="6" applyFont="1" applyFill="1" applyBorder="1" applyAlignment="1">
      <alignment horizontal="left"/>
    </xf>
    <xf numFmtId="0" fontId="9" fillId="4" borderId="0" xfId="6" applyFont="1" applyFill="1" applyBorder="1" applyAlignment="1">
      <alignment horizontal="left"/>
    </xf>
    <xf numFmtId="0" fontId="14" fillId="11" borderId="74" xfId="6" applyFont="1" applyFill="1" applyBorder="1" applyAlignment="1">
      <alignment horizontal="center"/>
    </xf>
    <xf numFmtId="0" fontId="14" fillId="11" borderId="79" xfId="6" applyFont="1" applyFill="1" applyBorder="1" applyAlignment="1">
      <alignment horizontal="center"/>
    </xf>
    <xf numFmtId="0" fontId="22" fillId="4" borderId="0" xfId="6" applyFont="1" applyFill="1" applyAlignment="1">
      <alignment horizontal="center"/>
    </xf>
    <xf numFmtId="0" fontId="15" fillId="4" borderId="0" xfId="6" applyFont="1" applyFill="1" applyAlignment="1">
      <alignment horizontal="center"/>
    </xf>
    <xf numFmtId="0" fontId="26" fillId="4" borderId="0" xfId="6" applyFont="1" applyFill="1" applyBorder="1" applyAlignment="1">
      <alignment horizontal="center"/>
    </xf>
    <xf numFmtId="0" fontId="37" fillId="4" borderId="0" xfId="6" applyFont="1" applyFill="1" applyBorder="1" applyAlignment="1">
      <alignment horizontal="center" vertical="top"/>
    </xf>
    <xf numFmtId="0" fontId="15" fillId="4" borderId="6" xfId="6" applyFont="1" applyFill="1" applyBorder="1" applyAlignment="1">
      <alignment horizontal="center"/>
    </xf>
    <xf numFmtId="0" fontId="15" fillId="11" borderId="2" xfId="6" applyFont="1" applyFill="1" applyBorder="1" applyAlignment="1">
      <alignment horizontal="left" vertical="top"/>
    </xf>
    <xf numFmtId="0" fontId="15" fillId="11" borderId="1" xfId="6" applyFont="1" applyFill="1" applyBorder="1" applyAlignment="1">
      <alignment horizontal="left" vertical="top"/>
    </xf>
    <xf numFmtId="0" fontId="15" fillId="11" borderId="3" xfId="6" applyFont="1" applyFill="1" applyBorder="1" applyAlignment="1">
      <alignment horizontal="left" vertical="top"/>
    </xf>
    <xf numFmtId="0" fontId="14" fillId="11" borderId="72" xfId="6" applyFont="1" applyFill="1" applyBorder="1" applyAlignment="1">
      <alignment horizontal="center"/>
    </xf>
    <xf numFmtId="0" fontId="14" fillId="11" borderId="78" xfId="6" applyFont="1" applyFill="1" applyBorder="1" applyAlignment="1">
      <alignment horizontal="center"/>
    </xf>
    <xf numFmtId="0" fontId="14" fillId="11" borderId="74" xfId="6" applyFont="1" applyFill="1" applyBorder="1" applyAlignment="1">
      <alignment horizontal="center" wrapText="1"/>
    </xf>
    <xf numFmtId="0" fontId="9" fillId="4" borderId="0" xfId="6" applyFont="1" applyFill="1" applyBorder="1" applyAlignment="1">
      <alignment horizontal="left" wrapText="1"/>
    </xf>
    <xf numFmtId="3" fontId="14" fillId="11" borderId="74" xfId="6" applyNumberFormat="1" applyFont="1" applyFill="1" applyBorder="1" applyAlignment="1">
      <alignment horizontal="center"/>
    </xf>
    <xf numFmtId="3" fontId="14" fillId="11" borderId="79" xfId="6" applyNumberFormat="1" applyFont="1" applyFill="1" applyBorder="1" applyAlignment="1">
      <alignment horizontal="center"/>
    </xf>
    <xf numFmtId="0" fontId="9" fillId="4" borderId="6" xfId="6" applyFont="1" applyFill="1" applyBorder="1" applyAlignment="1">
      <alignment horizontal="center" wrapText="1"/>
    </xf>
    <xf numFmtId="0" fontId="15" fillId="11" borderId="2" xfId="6" applyFont="1" applyFill="1" applyBorder="1" applyAlignment="1">
      <alignment horizontal="left" vertical="center"/>
    </xf>
    <xf numFmtId="0" fontId="15" fillId="11" borderId="1" xfId="6" applyFont="1" applyFill="1" applyBorder="1" applyAlignment="1">
      <alignment horizontal="left" vertical="center"/>
    </xf>
    <xf numFmtId="0" fontId="15" fillId="11" borderId="3" xfId="6" applyFont="1" applyFill="1" applyBorder="1" applyAlignment="1">
      <alignment horizontal="left" vertical="center"/>
    </xf>
    <xf numFmtId="0" fontId="4" fillId="11" borderId="0" xfId="6" applyFont="1" applyFill="1" applyBorder="1" applyAlignment="1">
      <alignment horizontal="left"/>
    </xf>
    <xf numFmtId="0" fontId="67" fillId="11" borderId="72" xfId="6" applyFont="1" applyFill="1" applyBorder="1" applyAlignment="1">
      <alignment horizontal="center" vertical="center"/>
    </xf>
    <xf numFmtId="0" fontId="67" fillId="11" borderId="78" xfId="6" applyFont="1" applyFill="1" applyBorder="1" applyAlignment="1">
      <alignment horizontal="center" vertical="center"/>
    </xf>
    <xf numFmtId="0" fontId="4" fillId="4" borderId="6" xfId="6" applyFont="1" applyFill="1" applyBorder="1" applyAlignment="1">
      <alignment horizontal="left" vertical="center"/>
    </xf>
    <xf numFmtId="0" fontId="4" fillId="11" borderId="6" xfId="6" applyFont="1" applyFill="1" applyBorder="1" applyAlignment="1">
      <alignment horizontal="left" vertical="center"/>
    </xf>
    <xf numFmtId="0" fontId="11" fillId="11" borderId="73" xfId="6" applyFont="1" applyFill="1" applyBorder="1" applyAlignment="1">
      <alignment vertical="center"/>
    </xf>
    <xf numFmtId="0" fontId="11" fillId="11" borderId="77" xfId="6" applyFont="1" applyFill="1" applyBorder="1" applyAlignment="1">
      <alignment vertical="center"/>
    </xf>
    <xf numFmtId="0" fontId="15" fillId="4" borderId="0" xfId="6" applyFont="1" applyFill="1" applyBorder="1" applyAlignment="1">
      <alignment horizontal="center"/>
    </xf>
    <xf numFmtId="0" fontId="15" fillId="4" borderId="18" xfId="6" applyFont="1" applyFill="1" applyBorder="1" applyAlignment="1">
      <alignment horizontal="center" vertical="center" wrapText="1"/>
    </xf>
    <xf numFmtId="0" fontId="15" fillId="4" borderId="13" xfId="6" applyFont="1" applyFill="1" applyBorder="1" applyAlignment="1">
      <alignment horizontal="center" vertical="center" wrapText="1"/>
    </xf>
    <xf numFmtId="0" fontId="4" fillId="4" borderId="13" xfId="6" applyFont="1" applyFill="1" applyBorder="1" applyAlignment="1">
      <alignment horizontal="center" vertical="center" wrapText="1"/>
    </xf>
    <xf numFmtId="0" fontId="4" fillId="4" borderId="1" xfId="6" applyFont="1" applyFill="1" applyBorder="1" applyAlignment="1">
      <alignment horizontal="left" vertical="center"/>
    </xf>
    <xf numFmtId="0" fontId="4" fillId="4" borderId="0" xfId="6" applyFont="1" applyFill="1" applyBorder="1" applyAlignment="1">
      <alignment horizontal="left" vertical="center"/>
    </xf>
    <xf numFmtId="0" fontId="103" fillId="11" borderId="72" xfId="6" quotePrefix="1" applyFont="1" applyFill="1" applyBorder="1" applyAlignment="1">
      <alignment horizontal="center" vertical="center" wrapText="1"/>
    </xf>
    <xf numFmtId="0" fontId="103" fillId="11" borderId="72" xfId="6" applyFont="1" applyFill="1" applyBorder="1" applyAlignment="1">
      <alignment horizontal="center" vertical="center" wrapText="1"/>
    </xf>
    <xf numFmtId="172" fontId="17" fillId="4" borderId="0" xfId="6" applyNumberFormat="1" applyFont="1" applyFill="1" applyBorder="1" applyAlignment="1">
      <alignment horizontal="left" vertical="top" wrapText="1"/>
    </xf>
    <xf numFmtId="172" fontId="17" fillId="4" borderId="5" xfId="6" applyNumberFormat="1" applyFont="1" applyFill="1" applyBorder="1" applyAlignment="1">
      <alignment horizontal="left" vertical="top" wrapText="1"/>
    </xf>
    <xf numFmtId="0" fontId="4" fillId="4" borderId="0" xfId="6" applyFont="1" applyFill="1" applyBorder="1" applyAlignment="1">
      <alignment horizontal="left" wrapText="1"/>
    </xf>
    <xf numFmtId="0" fontId="14" fillId="4" borderId="0" xfId="6" applyFont="1" applyFill="1" applyBorder="1" applyAlignment="1">
      <alignment horizontal="left"/>
    </xf>
    <xf numFmtId="0" fontId="39" fillId="4" borderId="0" xfId="6" applyFont="1" applyFill="1" applyBorder="1" applyAlignment="1">
      <alignment horizontal="left"/>
    </xf>
    <xf numFmtId="0" fontId="30" fillId="4" borderId="1" xfId="6" applyFont="1" applyFill="1" applyBorder="1" applyAlignment="1">
      <alignment horizontal="center"/>
    </xf>
    <xf numFmtId="0" fontId="37" fillId="4" borderId="0" xfId="6" applyFont="1" applyFill="1" applyBorder="1" applyAlignment="1">
      <alignment horizontal="center" vertical="center"/>
    </xf>
    <xf numFmtId="173" fontId="82" fillId="11" borderId="72" xfId="6" applyNumberFormat="1" applyFont="1" applyFill="1" applyBorder="1" applyAlignment="1">
      <alignment horizontal="right"/>
    </xf>
    <xf numFmtId="173" fontId="82" fillId="11" borderId="74" xfId="6" applyNumberFormat="1" applyFont="1" applyFill="1" applyBorder="1" applyAlignment="1">
      <alignment horizontal="right"/>
    </xf>
    <xf numFmtId="0" fontId="15" fillId="4" borderId="0" xfId="6" applyFont="1" applyFill="1" applyBorder="1" applyAlignment="1">
      <alignment horizontal="left"/>
    </xf>
    <xf numFmtId="49" fontId="17" fillId="11" borderId="72" xfId="6" applyNumberFormat="1" applyFont="1" applyFill="1" applyBorder="1" applyAlignment="1">
      <alignment horizontal="center"/>
    </xf>
    <xf numFmtId="173" fontId="17" fillId="11" borderId="72" xfId="6" applyNumberFormat="1" applyFont="1" applyFill="1" applyBorder="1" applyAlignment="1">
      <alignment horizontal="center"/>
    </xf>
    <xf numFmtId="0" fontId="26" fillId="4" borderId="0" xfId="6" applyFont="1" applyFill="1" applyAlignment="1">
      <alignment horizontal="center" vertical="center"/>
    </xf>
    <xf numFmtId="0" fontId="9" fillId="4" borderId="0" xfId="6" applyFont="1" applyFill="1" applyBorder="1" applyAlignment="1">
      <alignment horizontal="center" vertical="top"/>
    </xf>
    <xf numFmtId="0" fontId="9" fillId="4" borderId="0" xfId="6" applyFont="1" applyFill="1" applyAlignment="1">
      <alignment horizontal="center" vertical="top"/>
    </xf>
    <xf numFmtId="49" fontId="36" fillId="11" borderId="72" xfId="5" applyNumberFormat="1" applyFill="1" applyBorder="1" applyAlignment="1" applyProtection="1">
      <alignment horizontal="center"/>
    </xf>
    <xf numFmtId="0" fontId="9" fillId="4" borderId="16" xfId="6" applyFont="1" applyFill="1" applyBorder="1" applyAlignment="1">
      <alignment horizontal="center" vertical="top"/>
    </xf>
    <xf numFmtId="0" fontId="11" fillId="11" borderId="72" xfId="6" applyFont="1" applyFill="1" applyBorder="1" applyAlignment="1">
      <alignment horizontal="center" vertical="center"/>
    </xf>
    <xf numFmtId="0" fontId="11" fillId="11" borderId="78" xfId="6" applyFont="1" applyFill="1" applyBorder="1" applyAlignment="1">
      <alignment horizontal="center" vertical="center"/>
    </xf>
    <xf numFmtId="0" fontId="15" fillId="4" borderId="49" xfId="6" applyFont="1" applyFill="1" applyBorder="1" applyAlignment="1">
      <alignment horizontal="left"/>
    </xf>
    <xf numFmtId="0" fontId="4" fillId="11" borderId="74" xfId="6" applyFont="1" applyFill="1" applyBorder="1" applyAlignment="1">
      <alignment horizontal="center"/>
    </xf>
    <xf numFmtId="0" fontId="22" fillId="4" borderId="0" xfId="0" applyFont="1" applyFill="1" applyAlignment="1" applyProtection="1">
      <alignment horizontal="center"/>
    </xf>
    <xf numFmtId="0" fontId="15" fillId="4" borderId="0" xfId="0" applyFont="1" applyFill="1" applyAlignment="1" applyProtection="1">
      <alignment horizontal="center"/>
    </xf>
    <xf numFmtId="0" fontId="26" fillId="4" borderId="0" xfId="0" applyFont="1" applyFill="1" applyBorder="1" applyAlignment="1">
      <alignment horizontal="center"/>
    </xf>
    <xf numFmtId="0" fontId="9" fillId="4" borderId="0" xfId="0" applyFont="1" applyFill="1" applyAlignment="1" applyProtection="1">
      <alignment horizontal="left"/>
    </xf>
    <xf numFmtId="0" fontId="17" fillId="4" borderId="72" xfId="0" applyFont="1" applyFill="1" applyBorder="1" applyAlignment="1" applyProtection="1">
      <alignment horizontal="center"/>
    </xf>
    <xf numFmtId="0" fontId="17" fillId="4" borderId="74" xfId="0" applyFont="1" applyFill="1" applyBorder="1" applyAlignment="1" applyProtection="1">
      <alignment horizontal="center"/>
    </xf>
    <xf numFmtId="0" fontId="9" fillId="4" borderId="0" xfId="0" applyFont="1" applyFill="1" applyAlignment="1" applyProtection="1">
      <alignment horizontal="left" wrapText="1"/>
    </xf>
    <xf numFmtId="3" fontId="17" fillId="4" borderId="74" xfId="0" applyNumberFormat="1" applyFont="1" applyFill="1" applyBorder="1" applyAlignment="1" applyProtection="1">
      <alignment horizontal="center"/>
    </xf>
    <xf numFmtId="0" fontId="9" fillId="4" borderId="0" xfId="0" applyFont="1" applyFill="1" applyBorder="1" applyAlignment="1" applyProtection="1">
      <alignment horizontal="left" wrapText="1"/>
    </xf>
    <xf numFmtId="0" fontId="15" fillId="4" borderId="6" xfId="0" applyFont="1" applyFill="1" applyBorder="1" applyAlignment="1" applyProtection="1">
      <alignment horizontal="center"/>
    </xf>
    <xf numFmtId="0" fontId="15" fillId="4" borderId="18" xfId="0" applyFont="1" applyFill="1" applyBorder="1" applyAlignment="1" applyProtection="1">
      <alignment horizontal="center" vertical="center" wrapText="1"/>
    </xf>
    <xf numFmtId="0" fontId="15" fillId="4" borderId="13" xfId="0" applyFont="1" applyFill="1" applyBorder="1" applyAlignment="1" applyProtection="1">
      <alignment horizontal="center" vertical="center" wrapText="1"/>
    </xf>
    <xf numFmtId="0" fontId="4" fillId="4" borderId="13" xfId="0" applyFont="1" applyFill="1" applyBorder="1" applyAlignment="1" applyProtection="1">
      <alignment horizontal="center" vertical="center" wrapText="1"/>
    </xf>
    <xf numFmtId="0" fontId="4" fillId="4" borderId="1" xfId="0" applyFont="1" applyFill="1" applyBorder="1" applyAlignment="1" applyProtection="1">
      <alignment horizontal="left" vertical="center"/>
    </xf>
    <xf numFmtId="0" fontId="4" fillId="4" borderId="0" xfId="0" applyFont="1" applyFill="1" applyBorder="1" applyAlignment="1" applyProtection="1">
      <alignment horizontal="left" vertical="center"/>
    </xf>
    <xf numFmtId="0" fontId="9" fillId="4" borderId="6" xfId="0" applyFont="1" applyFill="1" applyBorder="1" applyAlignment="1" applyProtection="1">
      <alignment horizontal="center" wrapText="1"/>
    </xf>
    <xf numFmtId="0" fontId="15" fillId="4" borderId="2" xfId="0" applyFont="1" applyFill="1" applyBorder="1" applyAlignment="1" applyProtection="1">
      <alignment horizontal="left" vertical="center"/>
    </xf>
    <xf numFmtId="0" fontId="15" fillId="4" borderId="1" xfId="0" applyFont="1" applyFill="1" applyBorder="1" applyAlignment="1" applyProtection="1">
      <alignment horizontal="left" vertical="center"/>
    </xf>
    <xf numFmtId="0" fontId="15" fillId="4" borderId="3" xfId="0" applyFont="1" applyFill="1" applyBorder="1" applyAlignment="1" applyProtection="1">
      <alignment horizontal="left" vertical="center"/>
    </xf>
    <xf numFmtId="0" fontId="11" fillId="4" borderId="72" xfId="0" applyFont="1" applyFill="1" applyBorder="1" applyAlignment="1" applyProtection="1">
      <alignment horizontal="center" vertical="center"/>
    </xf>
    <xf numFmtId="0" fontId="11" fillId="4" borderId="78" xfId="0" applyFont="1" applyFill="1" applyBorder="1" applyAlignment="1" applyProtection="1">
      <alignment horizontal="center" vertical="center"/>
    </xf>
    <xf numFmtId="0" fontId="14" fillId="4" borderId="0" xfId="0" applyFont="1" applyFill="1" applyBorder="1" applyAlignment="1" applyProtection="1">
      <alignment horizontal="left"/>
    </xf>
    <xf numFmtId="173" fontId="16" fillId="4" borderId="72" xfId="3" applyNumberFormat="1" applyFont="1" applyFill="1" applyBorder="1" applyAlignment="1" applyProtection="1">
      <alignment horizontal="right"/>
    </xf>
    <xf numFmtId="0" fontId="30" fillId="4" borderId="0" xfId="0" applyFont="1" applyFill="1" applyBorder="1" applyAlignment="1" applyProtection="1">
      <alignment horizontal="center" vertical="center"/>
    </xf>
    <xf numFmtId="0" fontId="11" fillId="4" borderId="72" xfId="0" applyFont="1" applyFill="1" applyBorder="1" applyAlignment="1" applyProtection="1">
      <alignment horizontal="center" vertical="center" wrapText="1"/>
    </xf>
    <xf numFmtId="172" fontId="17" fillId="4" borderId="0" xfId="0" applyNumberFormat="1" applyFont="1" applyFill="1" applyBorder="1" applyAlignment="1">
      <alignment horizontal="left" vertical="top" wrapText="1"/>
    </xf>
    <xf numFmtId="172" fontId="17" fillId="4" borderId="5" xfId="0" applyNumberFormat="1" applyFont="1" applyFill="1" applyBorder="1" applyAlignment="1">
      <alignment horizontal="left" vertical="top" wrapText="1"/>
    </xf>
    <xf numFmtId="0" fontId="4" fillId="4" borderId="0" xfId="0" applyFont="1" applyFill="1" applyBorder="1" applyAlignment="1" applyProtection="1">
      <alignment horizontal="left" vertical="center" wrapText="1"/>
    </xf>
    <xf numFmtId="0" fontId="4" fillId="4" borderId="6" xfId="0" applyFont="1" applyFill="1" applyBorder="1" applyAlignment="1" applyProtection="1">
      <alignment horizontal="left" vertical="center"/>
    </xf>
    <xf numFmtId="0" fontId="76" fillId="4" borderId="0" xfId="0" applyFont="1" applyFill="1" applyBorder="1" applyAlignment="1" applyProtection="1">
      <alignment horizontal="left"/>
    </xf>
    <xf numFmtId="0" fontId="9" fillId="4" borderId="16" xfId="0" applyFont="1" applyFill="1" applyBorder="1" applyAlignment="1" applyProtection="1">
      <alignment horizontal="center" vertical="top"/>
    </xf>
    <xf numFmtId="0" fontId="26" fillId="4" borderId="0" xfId="0" applyFont="1" applyFill="1" applyAlignment="1" applyProtection="1">
      <alignment horizontal="center" vertical="center"/>
    </xf>
    <xf numFmtId="49" fontId="17" fillId="4" borderId="72" xfId="0" applyNumberFormat="1" applyFont="1" applyFill="1" applyBorder="1" applyAlignment="1" applyProtection="1">
      <alignment horizontal="center"/>
    </xf>
    <xf numFmtId="0" fontId="9" fillId="4" borderId="0" xfId="0" applyFont="1" applyFill="1" applyAlignment="1" applyProtection="1">
      <alignment horizontal="center" vertical="top"/>
    </xf>
    <xf numFmtId="0" fontId="15" fillId="4" borderId="0" xfId="0" applyFont="1" applyFill="1" applyBorder="1" applyAlignment="1" applyProtection="1">
      <alignment horizontal="left"/>
    </xf>
    <xf numFmtId="0" fontId="43" fillId="0" borderId="0" xfId="0" applyFont="1" applyBorder="1" applyAlignment="1">
      <alignment horizontal="center"/>
    </xf>
    <xf numFmtId="0" fontId="78" fillId="5" borderId="0" xfId="0" applyFont="1" applyFill="1" applyBorder="1" applyAlignment="1">
      <alignment horizontal="center" shrinkToFit="1"/>
    </xf>
    <xf numFmtId="0" fontId="89" fillId="0" borderId="6" xfId="0" applyFont="1" applyBorder="1" applyAlignment="1">
      <alignment horizontal="center"/>
    </xf>
    <xf numFmtId="0" fontId="89" fillId="0" borderId="13" xfId="0" applyFont="1" applyBorder="1" applyAlignment="1">
      <alignment horizontal="center"/>
    </xf>
    <xf numFmtId="0" fontId="91" fillId="5" borderId="0" xfId="0" applyFont="1" applyFill="1" applyBorder="1" applyAlignment="1">
      <alignment horizontal="center" shrinkToFit="1"/>
    </xf>
    <xf numFmtId="0" fontId="12" fillId="0" borderId="0" xfId="0" applyFont="1" applyBorder="1" applyAlignment="1">
      <alignment wrapText="1"/>
    </xf>
    <xf numFmtId="0" fontId="86" fillId="0" borderId="0" xfId="0" applyFont="1" applyBorder="1" applyAlignment="1">
      <alignment wrapText="1"/>
    </xf>
    <xf numFmtId="0" fontId="86" fillId="0" borderId="0" xfId="0" applyNumberFormat="1" applyFont="1" applyAlignment="1">
      <alignment horizontal="left" wrapText="1"/>
    </xf>
    <xf numFmtId="0" fontId="110" fillId="14" borderId="11" xfId="8" applyFont="1" applyFill="1" applyBorder="1" applyAlignment="1">
      <alignment horizontal="center" vertical="top"/>
    </xf>
    <xf numFmtId="0" fontId="110" fillId="14" borderId="12" xfId="8" applyFont="1" applyFill="1" applyBorder="1" applyAlignment="1">
      <alignment horizontal="center" vertical="top"/>
    </xf>
    <xf numFmtId="0" fontId="15" fillId="6" borderId="50" xfId="0" applyFont="1" applyFill="1" applyBorder="1" applyAlignment="1" applyProtection="1">
      <alignment horizontal="center"/>
    </xf>
    <xf numFmtId="0" fontId="15" fillId="6" borderId="51" xfId="0" applyFont="1" applyFill="1" applyBorder="1" applyAlignment="1" applyProtection="1">
      <alignment horizontal="center"/>
    </xf>
    <xf numFmtId="0" fontId="15" fillId="6" borderId="52" xfId="0" applyFont="1" applyFill="1" applyBorder="1" applyAlignment="1" applyProtection="1">
      <alignment horizontal="center"/>
    </xf>
    <xf numFmtId="6" fontId="46" fillId="7" borderId="14" xfId="0" applyNumberFormat="1" applyFont="1" applyFill="1" applyBorder="1" applyAlignment="1" applyProtection="1">
      <alignment horizontal="center"/>
    </xf>
    <xf numFmtId="6" fontId="46" fillId="7" borderId="8" xfId="0" applyNumberFormat="1" applyFont="1" applyFill="1" applyBorder="1" applyAlignment="1" applyProtection="1">
      <alignment horizontal="center"/>
    </xf>
    <xf numFmtId="0" fontId="46" fillId="7" borderId="7" xfId="0" applyFont="1" applyFill="1" applyBorder="1" applyAlignment="1" applyProtection="1">
      <alignment horizontal="center"/>
    </xf>
    <xf numFmtId="0" fontId="46" fillId="7" borderId="55" xfId="0" applyFont="1" applyFill="1" applyBorder="1" applyAlignment="1" applyProtection="1">
      <alignment horizontal="center"/>
    </xf>
    <xf numFmtId="0" fontId="15" fillId="6" borderId="4" xfId="0" applyFont="1" applyFill="1" applyBorder="1" applyAlignment="1" applyProtection="1">
      <alignment horizontal="center"/>
    </xf>
    <xf numFmtId="0" fontId="15" fillId="6" borderId="0" xfId="0" applyFont="1" applyFill="1" applyBorder="1" applyAlignment="1" applyProtection="1">
      <alignment horizontal="center"/>
    </xf>
    <xf numFmtId="0" fontId="15" fillId="6" borderId="49" xfId="0" applyFont="1" applyFill="1" applyBorder="1" applyAlignment="1" applyProtection="1">
      <alignment horizontal="center"/>
    </xf>
    <xf numFmtId="0" fontId="46" fillId="7" borderId="14" xfId="0" applyFont="1" applyFill="1" applyBorder="1" applyAlignment="1" applyProtection="1">
      <alignment horizontal="center"/>
    </xf>
    <xf numFmtId="0" fontId="46" fillId="7" borderId="8" xfId="0" applyFont="1" applyFill="1" applyBorder="1" applyAlignment="1" applyProtection="1">
      <alignment horizontal="center"/>
    </xf>
    <xf numFmtId="0" fontId="15" fillId="6" borderId="17" xfId="0" applyFont="1" applyFill="1" applyBorder="1" applyAlignment="1" applyProtection="1">
      <alignment horizontal="center"/>
    </xf>
    <xf numFmtId="0" fontId="22" fillId="6" borderId="19" xfId="0" applyFont="1" applyFill="1" applyBorder="1" applyAlignment="1">
      <alignment horizontal="center"/>
    </xf>
    <xf numFmtId="0" fontId="22" fillId="6" borderId="20" xfId="0" applyFont="1" applyFill="1" applyBorder="1" applyAlignment="1">
      <alignment horizontal="center"/>
    </xf>
    <xf numFmtId="0" fontId="22" fillId="6" borderId="45" xfId="0" applyFont="1" applyFill="1" applyBorder="1" applyAlignment="1">
      <alignment horizontal="center"/>
    </xf>
    <xf numFmtId="0" fontId="22" fillId="6" borderId="2" xfId="0" applyFont="1" applyFill="1" applyBorder="1" applyAlignment="1">
      <alignment horizontal="center"/>
    </xf>
    <xf numFmtId="0" fontId="22" fillId="6" borderId="1" xfId="0" applyFont="1" applyFill="1" applyBorder="1" applyAlignment="1">
      <alignment horizontal="center"/>
    </xf>
    <xf numFmtId="0" fontId="22" fillId="6" borderId="3" xfId="0" applyFont="1" applyFill="1" applyBorder="1" applyAlignment="1">
      <alignment horizontal="center"/>
    </xf>
    <xf numFmtId="0" fontId="22" fillId="14" borderId="19" xfId="0" applyFont="1" applyFill="1" applyBorder="1" applyAlignment="1">
      <alignment horizontal="center"/>
    </xf>
    <xf numFmtId="0" fontId="22" fillId="14" borderId="20" xfId="0" applyFont="1" applyFill="1" applyBorder="1" applyAlignment="1">
      <alignment horizontal="center"/>
    </xf>
    <xf numFmtId="0" fontId="22" fillId="14" borderId="45" xfId="0" applyFont="1" applyFill="1" applyBorder="1" applyAlignment="1">
      <alignment horizontal="center"/>
    </xf>
    <xf numFmtId="0" fontId="15" fillId="6" borderId="2" xfId="0" applyFont="1" applyFill="1" applyBorder="1" applyAlignment="1">
      <alignment horizontal="center" vertical="center"/>
    </xf>
    <xf numFmtId="0" fontId="15" fillId="6" borderId="1" xfId="0" applyFont="1" applyFill="1" applyBorder="1" applyAlignment="1">
      <alignment horizontal="center" vertical="center"/>
    </xf>
    <xf numFmtId="0" fontId="15" fillId="6" borderId="3" xfId="0" applyFont="1" applyFill="1" applyBorder="1" applyAlignment="1">
      <alignment horizontal="center" vertical="center"/>
    </xf>
    <xf numFmtId="0" fontId="15" fillId="6" borderId="10" xfId="0" applyFont="1" applyFill="1" applyBorder="1" applyAlignment="1">
      <alignment horizontal="center" vertical="center"/>
    </xf>
    <xf numFmtId="0" fontId="15" fillId="6" borderId="6" xfId="0" applyFont="1" applyFill="1" applyBorder="1" applyAlignment="1">
      <alignment horizontal="center" vertical="center"/>
    </xf>
    <xf numFmtId="0" fontId="15" fillId="6" borderId="9" xfId="0" applyFont="1" applyFill="1" applyBorder="1" applyAlignment="1">
      <alignment horizontal="center" vertical="center"/>
    </xf>
    <xf numFmtId="0" fontId="22" fillId="7" borderId="18" xfId="0" applyFont="1" applyFill="1" applyBorder="1" applyAlignment="1">
      <alignment horizontal="center"/>
    </xf>
    <xf numFmtId="0" fontId="22" fillId="7" borderId="13" xfId="0" applyFont="1" applyFill="1" applyBorder="1" applyAlignment="1">
      <alignment horizontal="center"/>
    </xf>
    <xf numFmtId="0" fontId="22" fillId="7" borderId="43" xfId="0" applyFont="1" applyFill="1" applyBorder="1" applyAlignment="1">
      <alignment horizontal="center"/>
    </xf>
    <xf numFmtId="0" fontId="10" fillId="6" borderId="1" xfId="0" applyFont="1" applyFill="1" applyBorder="1" applyAlignment="1">
      <alignment horizontal="center" wrapText="1"/>
    </xf>
    <xf numFmtId="0" fontId="10" fillId="6" borderId="16" xfId="0" applyFont="1" applyFill="1" applyBorder="1" applyAlignment="1">
      <alignment horizontal="center" wrapText="1"/>
    </xf>
    <xf numFmtId="0" fontId="22" fillId="6" borderId="18" xfId="0" applyFont="1" applyFill="1" applyBorder="1" applyAlignment="1">
      <alignment horizontal="center"/>
    </xf>
    <xf numFmtId="0" fontId="22" fillId="6" borderId="13" xfId="0" applyFont="1" applyFill="1" applyBorder="1" applyAlignment="1">
      <alignment horizontal="center"/>
    </xf>
    <xf numFmtId="0" fontId="22" fillId="6" borderId="43" xfId="0" applyFont="1" applyFill="1" applyBorder="1" applyAlignment="1">
      <alignment horizontal="center"/>
    </xf>
    <xf numFmtId="0" fontId="10" fillId="6" borderId="5" xfId="0" applyFont="1" applyFill="1" applyBorder="1" applyAlignment="1">
      <alignment horizontal="center" wrapText="1"/>
    </xf>
    <xf numFmtId="0" fontId="10" fillId="6" borderId="42" xfId="0" applyFont="1" applyFill="1" applyBorder="1" applyAlignment="1">
      <alignment horizontal="center" wrapText="1"/>
    </xf>
    <xf numFmtId="0" fontId="4" fillId="6" borderId="2" xfId="0" applyFont="1" applyFill="1" applyBorder="1" applyAlignment="1">
      <alignment horizontal="center"/>
    </xf>
    <xf numFmtId="0" fontId="4" fillId="6" borderId="3" xfId="0" applyFont="1" applyFill="1" applyBorder="1" applyAlignment="1">
      <alignment horizontal="center"/>
    </xf>
    <xf numFmtId="0" fontId="5" fillId="0" borderId="51" xfId="0" applyFont="1" applyBorder="1" applyAlignment="1">
      <alignment horizontal="center"/>
    </xf>
    <xf numFmtId="0" fontId="50" fillId="9" borderId="7" xfId="0" applyFont="1" applyFill="1" applyBorder="1" applyAlignment="1">
      <alignment horizontal="center" vertical="center"/>
    </xf>
    <xf numFmtId="0" fontId="50" fillId="9" borderId="55" xfId="0" applyFont="1" applyFill="1" applyBorder="1" applyAlignment="1">
      <alignment horizontal="center" vertical="center"/>
    </xf>
    <xf numFmtId="0" fontId="15" fillId="0" borderId="70" xfId="0" applyFont="1" applyFill="1" applyBorder="1" applyAlignment="1">
      <alignment horizontal="center" vertical="center"/>
    </xf>
    <xf numFmtId="0" fontId="15" fillId="0" borderId="25" xfId="0" applyFont="1" applyFill="1" applyBorder="1" applyAlignment="1">
      <alignment horizontal="center" vertical="center"/>
    </xf>
    <xf numFmtId="0" fontId="50" fillId="9" borderId="50" xfId="0" applyFont="1" applyFill="1" applyBorder="1" applyAlignment="1">
      <alignment horizontal="left" vertical="center"/>
    </xf>
    <xf numFmtId="0" fontId="50" fillId="9" borderId="51" xfId="0" applyFont="1" applyFill="1" applyBorder="1" applyAlignment="1">
      <alignment horizontal="left" vertical="center"/>
    </xf>
    <xf numFmtId="0" fontId="50" fillId="9" borderId="56" xfId="0" applyFont="1" applyFill="1" applyBorder="1" applyAlignment="1">
      <alignment horizontal="left" vertical="center"/>
    </xf>
    <xf numFmtId="0" fontId="50" fillId="9" borderId="48" xfId="0" applyFont="1" applyFill="1" applyBorder="1" applyAlignment="1">
      <alignment horizontal="left" vertical="center"/>
    </xf>
    <xf numFmtId="0" fontId="50" fillId="9" borderId="16" xfId="0" applyFont="1" applyFill="1" applyBorder="1" applyAlignment="1">
      <alignment horizontal="left" vertical="center"/>
    </xf>
    <xf numFmtId="0" fontId="50" fillId="9" borderId="42" xfId="0" applyFont="1" applyFill="1" applyBorder="1" applyAlignment="1">
      <alignment horizontal="left" vertical="center"/>
    </xf>
    <xf numFmtId="0" fontId="50" fillId="9" borderId="15" xfId="0" applyFont="1" applyFill="1" applyBorder="1" applyAlignment="1">
      <alignment horizontal="left" vertical="center"/>
    </xf>
    <xf numFmtId="0" fontId="50" fillId="9" borderId="7" xfId="0" applyFont="1" applyFill="1" applyBorder="1" applyAlignment="1">
      <alignment horizontal="left" vertical="center"/>
    </xf>
    <xf numFmtId="0" fontId="15" fillId="0" borderId="71" xfId="0" applyFont="1" applyFill="1" applyBorder="1" applyAlignment="1">
      <alignment horizontal="center" vertical="center"/>
    </xf>
    <xf numFmtId="0" fontId="45" fillId="9" borderId="50" xfId="0" applyFont="1" applyFill="1" applyBorder="1" applyAlignment="1">
      <alignment horizontal="left" vertical="center"/>
    </xf>
    <xf numFmtId="0" fontId="45" fillId="9" borderId="51" xfId="0" applyFont="1" applyFill="1" applyBorder="1" applyAlignment="1">
      <alignment horizontal="left" vertical="center"/>
    </xf>
    <xf numFmtId="0" fontId="45" fillId="9" borderId="56" xfId="0" applyFont="1" applyFill="1" applyBorder="1" applyAlignment="1">
      <alignment horizontal="left" vertical="center"/>
    </xf>
    <xf numFmtId="0" fontId="45" fillId="9" borderId="48" xfId="0" applyFont="1" applyFill="1" applyBorder="1" applyAlignment="1">
      <alignment horizontal="left" vertical="center"/>
    </xf>
    <xf numFmtId="0" fontId="45" fillId="9" borderId="16" xfId="0" applyFont="1" applyFill="1" applyBorder="1" applyAlignment="1">
      <alignment horizontal="left" vertical="center"/>
    </xf>
    <xf numFmtId="0" fontId="45" fillId="9" borderId="42" xfId="0" applyFont="1" applyFill="1" applyBorder="1" applyAlignment="1">
      <alignment horizontal="left" vertical="center"/>
    </xf>
    <xf numFmtId="0" fontId="50" fillId="8" borderId="50" xfId="0" applyFont="1" applyFill="1" applyBorder="1" applyAlignment="1">
      <alignment horizontal="left" vertical="center"/>
    </xf>
    <xf numFmtId="0" fontId="50" fillId="8" borderId="51" xfId="0" applyFont="1" applyFill="1" applyBorder="1" applyAlignment="1">
      <alignment horizontal="left" vertical="center"/>
    </xf>
    <xf numFmtId="0" fontId="50" fillId="8" borderId="56" xfId="0" applyFont="1" applyFill="1" applyBorder="1" applyAlignment="1">
      <alignment horizontal="left" vertical="center"/>
    </xf>
    <xf numFmtId="0" fontId="50" fillId="8" borderId="48" xfId="0" applyFont="1" applyFill="1" applyBorder="1" applyAlignment="1">
      <alignment horizontal="left" vertical="center"/>
    </xf>
    <xf numFmtId="0" fontId="50" fillId="8" borderId="16" xfId="0" applyFont="1" applyFill="1" applyBorder="1" applyAlignment="1">
      <alignment horizontal="left" vertical="center"/>
    </xf>
    <xf numFmtId="0" fontId="50" fillId="8" borderId="42" xfId="0" applyFont="1" applyFill="1" applyBorder="1" applyAlignment="1">
      <alignment horizontal="left" vertical="center"/>
    </xf>
    <xf numFmtId="0" fontId="14" fillId="0" borderId="0" xfId="0" applyFont="1" applyAlignment="1">
      <alignment horizontal="left" vertical="center" wrapText="1"/>
    </xf>
    <xf numFmtId="6" fontId="111" fillId="18" borderId="32" xfId="3" applyNumberFormat="1" applyFont="1" applyFill="1" applyBorder="1" applyAlignment="1">
      <alignment horizontal="center" vertical="top"/>
    </xf>
    <xf numFmtId="6" fontId="111" fillId="19" borderId="32" xfId="3" applyNumberFormat="1" applyFont="1" applyFill="1" applyBorder="1" applyAlignment="1">
      <alignment horizontal="center" vertical="top"/>
    </xf>
  </cellXfs>
  <cellStyles count="9">
    <cellStyle name="Comma" xfId="1" builtinId="3"/>
    <cellStyle name="Comma 2" xfId="2" xr:uid="{00000000-0005-0000-0000-000001000000}"/>
    <cellStyle name="Currency" xfId="3" builtinId="4"/>
    <cellStyle name="Currency 2" xfId="4" xr:uid="{00000000-0005-0000-0000-000003000000}"/>
    <cellStyle name="Hyperlink" xfId="5" builtinId="8"/>
    <cellStyle name="Normal" xfId="0" builtinId="0"/>
    <cellStyle name="Normal 2" xfId="6" xr:uid="{00000000-0005-0000-0000-000006000000}"/>
    <cellStyle name="Normal 3" xfId="8" xr:uid="{92C2B09E-385F-4564-8CF2-C9DA6534F5F1}"/>
    <cellStyle name="Percent" xfId="7" builtinId="5"/>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5.xml"/><Relationship Id="rId5" Type="http://schemas.openxmlformats.org/officeDocument/2006/relationships/worksheet" Target="worksheets/sheet5.xml"/><Relationship Id="rId15" Type="http://schemas.openxmlformats.org/officeDocument/2006/relationships/externalLink" Target="externalLinks/externalLink1.xml"/><Relationship Id="rId23" Type="http://schemas.openxmlformats.org/officeDocument/2006/relationships/customXml" Target="../customXml/item4.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1</xdr:col>
      <xdr:colOff>9524</xdr:colOff>
      <xdr:row>0</xdr:row>
      <xdr:rowOff>60326</xdr:rowOff>
    </xdr:from>
    <xdr:to>
      <xdr:col>18</xdr:col>
      <xdr:colOff>3175</xdr:colOff>
      <xdr:row>8</xdr:row>
      <xdr:rowOff>0</xdr:rowOff>
    </xdr:to>
    <xdr:sp macro="" textlink="">
      <xdr:nvSpPr>
        <xdr:cNvPr id="2" name="Text Box 1">
          <a:extLst>
            <a:ext uri="{FF2B5EF4-FFF2-40B4-BE49-F238E27FC236}">
              <a16:creationId xmlns:a16="http://schemas.microsoft.com/office/drawing/2014/main" id="{00000000-0008-0000-0100-000002000000}"/>
            </a:ext>
          </a:extLst>
        </xdr:cNvPr>
        <xdr:cNvSpPr txBox="1">
          <a:spLocks noChangeArrowheads="1"/>
        </xdr:cNvSpPr>
      </xdr:nvSpPr>
      <xdr:spPr bwMode="auto">
        <a:xfrm>
          <a:off x="152399" y="60326"/>
          <a:ext cx="9994901" cy="1263649"/>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rtl="0"/>
          <a:r>
            <a:rPr lang="en-US" sz="1200" b="1" i="1" u="sng" baseline="0">
              <a:solidFill>
                <a:srgbClr val="FF0000"/>
              </a:solidFill>
              <a:latin typeface="Arial Black" pitchFamily="34" charset="0"/>
              <a:ea typeface="+mn-ea"/>
              <a:cs typeface="Arial" pitchFamily="34" charset="0"/>
            </a:rPr>
            <a:t>2-7 QUICK START INSTRUCTIONS : THIS WILL NOT PRINT</a:t>
          </a:r>
          <a:endParaRPr lang="en-US" sz="1200" b="1" i="1" u="sng">
            <a:solidFill>
              <a:srgbClr val="FF0000"/>
            </a:solidFill>
            <a:latin typeface="Arial Black" pitchFamily="34" charset="0"/>
            <a:ea typeface="+mn-ea"/>
            <a:cs typeface="Arial" pitchFamily="34" charset="0"/>
          </a:endParaRPr>
        </a:p>
        <a:p>
          <a:pPr algn="l" rtl="0">
            <a:defRPr sz="1000"/>
          </a:pPr>
          <a:r>
            <a:rPr lang="en-US" sz="1050" b="0" i="0" strike="noStrike" baseline="0">
              <a:solidFill>
                <a:srgbClr val="FF0000"/>
              </a:solidFill>
              <a:latin typeface="Arial" pitchFamily="34" charset="0"/>
              <a:cs typeface="Arial" pitchFamily="34" charset="0"/>
            </a:rPr>
            <a:t>1. Select appropriate </a:t>
          </a:r>
          <a:r>
            <a:rPr lang="en-US" sz="1050" b="1" i="0" strike="noStrike" baseline="0">
              <a:solidFill>
                <a:srgbClr val="FF0000"/>
              </a:solidFill>
              <a:latin typeface="Arial" pitchFamily="34" charset="0"/>
              <a:cs typeface="Arial" pitchFamily="34" charset="0"/>
            </a:rPr>
            <a:t>SPACE TYPE(s</a:t>
          </a:r>
          <a:r>
            <a:rPr lang="en-US" sz="1050" b="0" i="0" strike="noStrike" baseline="0">
              <a:solidFill>
                <a:srgbClr val="FF0000"/>
              </a:solidFill>
              <a:latin typeface="Arial" pitchFamily="34" charset="0"/>
              <a:cs typeface="Arial" pitchFamily="34" charset="0"/>
            </a:rPr>
            <a:t>). </a:t>
          </a:r>
          <a:r>
            <a:rPr lang="en-US" sz="1050" b="0" i="0" baseline="0">
              <a:solidFill>
                <a:srgbClr val="FF0000"/>
              </a:solidFill>
              <a:latin typeface="Arial" pitchFamily="34" charset="0"/>
              <a:ea typeface="+mn-ea"/>
              <a:cs typeface="Arial" pitchFamily="34" charset="0"/>
            </a:rPr>
            <a:t> The costguide values will automatically populate the appropriate cells. </a:t>
          </a:r>
        </a:p>
        <a:p>
          <a:pPr algn="l" rtl="0">
            <a:defRPr sz="1000"/>
          </a:pPr>
          <a:r>
            <a:rPr lang="en-US" sz="1050" b="0" i="0" baseline="0">
              <a:solidFill>
                <a:srgbClr val="FF0000"/>
              </a:solidFill>
              <a:latin typeface="Arial" pitchFamily="34" charset="0"/>
              <a:ea typeface="+mn-ea"/>
              <a:cs typeface="Arial" pitchFamily="34" charset="0"/>
            </a:rPr>
            <a:t>	</a:t>
          </a:r>
          <a:r>
            <a:rPr lang="en-US" sz="1050" b="1" i="0" u="sng" baseline="0">
              <a:solidFill>
                <a:srgbClr val="FF0000"/>
              </a:solidFill>
              <a:latin typeface="Arial" pitchFamily="34" charset="0"/>
              <a:ea typeface="+mn-ea"/>
              <a:cs typeface="Arial" pitchFamily="34" charset="0"/>
            </a:rPr>
            <a:t>Do NOT skip this step</a:t>
          </a:r>
          <a:r>
            <a:rPr lang="en-US" sz="1050" b="0" i="0" baseline="0">
              <a:solidFill>
                <a:srgbClr val="FF0000"/>
              </a:solidFill>
              <a:latin typeface="Arial" pitchFamily="34" charset="0"/>
              <a:ea typeface="+mn-ea"/>
              <a:cs typeface="Arial" pitchFamily="34" charset="0"/>
            </a:rPr>
            <a:t>. Even if outyear calcs are not needed, it is required to generate other calculations. </a:t>
          </a:r>
          <a:endParaRPr lang="en-US" sz="1050" b="0" i="0" strike="noStrike" baseline="0">
            <a:solidFill>
              <a:srgbClr val="FF0000"/>
            </a:solidFill>
            <a:latin typeface="Arial" pitchFamily="34" charset="0"/>
            <a:cs typeface="Arial" pitchFamily="34" charset="0"/>
          </a:endParaRPr>
        </a:p>
        <a:p>
          <a:pPr algn="l" rtl="0">
            <a:defRPr sz="1000"/>
          </a:pPr>
          <a:r>
            <a:rPr lang="en-US" sz="1050" b="0" i="0" strike="noStrike" baseline="0">
              <a:solidFill>
                <a:srgbClr val="FF0000"/>
              </a:solidFill>
              <a:latin typeface="Arial" pitchFamily="34" charset="0"/>
              <a:cs typeface="Arial" pitchFamily="34" charset="0"/>
            </a:rPr>
            <a:t>2. </a:t>
          </a:r>
          <a:r>
            <a:rPr lang="en-US" sz="1050" b="0" i="0" strike="noStrike">
              <a:solidFill>
                <a:srgbClr val="FF0000"/>
              </a:solidFill>
              <a:latin typeface="Arial" pitchFamily="34" charset="0"/>
              <a:cs typeface="Arial" pitchFamily="34" charset="0"/>
            </a:rPr>
            <a:t>Insert associated ASF per each Space Type.</a:t>
          </a:r>
        </a:p>
        <a:p>
          <a:pPr algn="l" rtl="0">
            <a:defRPr sz="1000"/>
          </a:pPr>
          <a:r>
            <a:rPr lang="en-US" sz="1050" b="0" i="0" strike="noStrike">
              <a:solidFill>
                <a:srgbClr val="FF0000"/>
              </a:solidFill>
              <a:latin typeface="Arial" pitchFamily="34" charset="0"/>
              <a:cs typeface="Arial" pitchFamily="34" charset="0"/>
            </a:rPr>
            <a:t>3. If</a:t>
          </a:r>
          <a:r>
            <a:rPr lang="en-US" sz="1050" b="0" i="0" strike="noStrike" baseline="0">
              <a:solidFill>
                <a:srgbClr val="FF0000"/>
              </a:solidFill>
              <a:latin typeface="Arial" pitchFamily="34" charset="0"/>
              <a:cs typeface="Arial" pitchFamily="34" charset="0"/>
            </a:rPr>
            <a:t> Non-Capacity or space type without associated costguide values, User will need to manually input variables.(GSF, $/GSF, Grp I $, and Grp II $)</a:t>
          </a:r>
        </a:p>
        <a:p>
          <a:pPr algn="l" rtl="0">
            <a:defRPr sz="1000"/>
          </a:pPr>
          <a:endParaRPr lang="en-US" sz="1050" b="0" i="0" strike="noStrike" baseline="0">
            <a:solidFill>
              <a:srgbClr val="FF0000"/>
            </a:solidFill>
            <a:latin typeface="Arial" pitchFamily="34" charset="0"/>
            <a:cs typeface="Arial" pitchFamily="34" charset="0"/>
          </a:endParaRPr>
        </a:p>
        <a:p>
          <a:pPr algn="l" rtl="0">
            <a:defRPr sz="1000"/>
          </a:pPr>
          <a:r>
            <a:rPr lang="en-US" sz="1050" b="0" i="0" strike="noStrike" baseline="0">
              <a:solidFill>
                <a:srgbClr val="FF0000"/>
              </a:solidFill>
              <a:latin typeface="Arial" pitchFamily="34" charset="0"/>
              <a:cs typeface="Arial" pitchFamily="34" charset="0"/>
            </a:rPr>
            <a:t>For </a:t>
          </a:r>
          <a:r>
            <a:rPr lang="en-US" sz="1050" b="1" i="0" u="sng" strike="noStrike" baseline="0">
              <a:solidFill>
                <a:srgbClr val="FF0000"/>
              </a:solidFill>
              <a:latin typeface="Arial" pitchFamily="34" charset="0"/>
              <a:cs typeface="Arial" pitchFamily="34" charset="0"/>
            </a:rPr>
            <a:t>OUTYEAR PROJECTS</a:t>
          </a:r>
          <a:r>
            <a:rPr lang="en-US" sz="1050" b="0" i="0" u="none" strike="noStrike" baseline="0">
              <a:solidFill>
                <a:srgbClr val="FF0000"/>
              </a:solidFill>
              <a:latin typeface="Arial" pitchFamily="34" charset="0"/>
              <a:cs typeface="Arial" pitchFamily="34" charset="0"/>
            </a:rPr>
            <a:t>: Transfer PLUG values accordingly. Otherwise no action needed.</a:t>
          </a: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0</xdr:col>
      <xdr:colOff>54610</xdr:colOff>
      <xdr:row>0</xdr:row>
      <xdr:rowOff>20320</xdr:rowOff>
    </xdr:from>
    <xdr:to>
      <xdr:col>7</xdr:col>
      <xdr:colOff>628920</xdr:colOff>
      <xdr:row>4</xdr:row>
      <xdr:rowOff>50898</xdr:rowOff>
    </xdr:to>
    <xdr:sp macro="" textlink="">
      <xdr:nvSpPr>
        <xdr:cNvPr id="2" name="Text Box 1">
          <a:extLst>
            <a:ext uri="{FF2B5EF4-FFF2-40B4-BE49-F238E27FC236}">
              <a16:creationId xmlns:a16="http://schemas.microsoft.com/office/drawing/2014/main" id="{00000000-0008-0000-0600-000002000000}"/>
            </a:ext>
          </a:extLst>
        </xdr:cNvPr>
        <xdr:cNvSpPr txBox="1">
          <a:spLocks noChangeArrowheads="1"/>
        </xdr:cNvSpPr>
      </xdr:nvSpPr>
      <xdr:spPr bwMode="auto">
        <a:xfrm>
          <a:off x="60960" y="33020"/>
          <a:ext cx="6216015" cy="748030"/>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en-US" sz="1200" b="1" i="1" u="sng" strike="noStrike">
              <a:solidFill>
                <a:srgbClr val="FF0000"/>
              </a:solidFill>
              <a:latin typeface="Arial Black" pitchFamily="34" charset="0"/>
              <a:cs typeface="Arial" pitchFamily="34" charset="0"/>
            </a:rPr>
            <a:t>QUICK START INSTRUCTIONS:	THIS</a:t>
          </a:r>
          <a:r>
            <a:rPr lang="en-US" sz="1200" b="1" i="1" u="sng" strike="noStrike" baseline="0">
              <a:solidFill>
                <a:srgbClr val="FF0000"/>
              </a:solidFill>
              <a:latin typeface="Arial Black" pitchFamily="34" charset="0"/>
              <a:cs typeface="Arial" pitchFamily="34" charset="0"/>
            </a:rPr>
            <a:t> WILL NOT PRINT</a:t>
          </a:r>
          <a:endParaRPr lang="en-US" sz="1200" b="1" i="1" u="sng" strike="noStrike">
            <a:solidFill>
              <a:srgbClr val="FF0000"/>
            </a:solidFill>
            <a:latin typeface="Arial Black" pitchFamily="34" charset="0"/>
            <a:cs typeface="Arial" pitchFamily="34" charset="0"/>
          </a:endParaRPr>
        </a:p>
        <a:p>
          <a:pPr algn="l" rtl="0">
            <a:defRPr sz="1000"/>
          </a:pPr>
          <a:endParaRPr lang="en-US" sz="1200" b="1" i="0" strike="noStrike">
            <a:solidFill>
              <a:srgbClr val="FF0000"/>
            </a:solidFill>
            <a:latin typeface="Arial" pitchFamily="34" charset="0"/>
            <a:cs typeface="Arial" pitchFamily="34" charset="0"/>
          </a:endParaRPr>
        </a:p>
        <a:p>
          <a:pPr algn="l" rtl="0">
            <a:defRPr sz="1000"/>
          </a:pPr>
          <a:r>
            <a:rPr lang="en-US" sz="1050" b="0" i="0" strike="noStrike">
              <a:solidFill>
                <a:srgbClr val="FF0000"/>
              </a:solidFill>
              <a:latin typeface="Arial" pitchFamily="34" charset="0"/>
              <a:cs typeface="Arial" pitchFamily="34" charset="0"/>
            </a:rPr>
            <a:t>1. Select Applicable Premium Rate from the table and insert onto line item</a:t>
          </a:r>
          <a:r>
            <a:rPr lang="en-US" sz="1050" b="0" i="0" strike="noStrike" baseline="0">
              <a:solidFill>
                <a:srgbClr val="FF0000"/>
              </a:solidFill>
              <a:latin typeface="Arial" pitchFamily="34" charset="0"/>
              <a:cs typeface="Arial" pitchFamily="34" charset="0"/>
            </a:rPr>
            <a:t> F (Cell H30)</a:t>
          </a:r>
          <a:endParaRPr lang="en-US" sz="1050" b="0" i="0" strike="noStrike">
            <a:solidFill>
              <a:srgbClr val="FF0000"/>
            </a:solidFill>
            <a:latin typeface="Arial" pitchFamily="34" charset="0"/>
            <a:cs typeface="Arial" pitchFamily="34" charset="0"/>
          </a:endParaRPr>
        </a:p>
        <a:p>
          <a:pPr algn="l" rtl="0">
            <a:defRPr sz="1000"/>
          </a:pPr>
          <a:r>
            <a:rPr lang="en-US" sz="1050" b="0" i="0" strike="noStrike">
              <a:solidFill>
                <a:srgbClr val="FF0000"/>
              </a:solidFill>
              <a:latin typeface="Arial" pitchFamily="34" charset="0"/>
              <a:cs typeface="Arial" pitchFamily="34" charset="0"/>
            </a:rPr>
            <a:t>2.</a:t>
          </a:r>
          <a:r>
            <a:rPr lang="en-US" sz="1050" b="0" i="0" strike="noStrike" baseline="0">
              <a:solidFill>
                <a:srgbClr val="FF0000"/>
              </a:solidFill>
              <a:latin typeface="Arial" pitchFamily="34" charset="0"/>
              <a:cs typeface="Arial" pitchFamily="34" charset="0"/>
            </a:rPr>
            <a:t> </a:t>
          </a:r>
          <a:r>
            <a:rPr lang="en-US" sz="1050" b="0" i="0" strike="noStrike">
              <a:solidFill>
                <a:srgbClr val="FF0000"/>
              </a:solidFill>
              <a:latin typeface="Arial" pitchFamily="34" charset="0"/>
              <a:cs typeface="Arial" pitchFamily="34" charset="0"/>
            </a:rPr>
            <a:t>Provide</a:t>
          </a:r>
          <a:r>
            <a:rPr lang="en-US" sz="1050" b="0" i="0" strike="noStrike" baseline="0">
              <a:solidFill>
                <a:srgbClr val="FF0000"/>
              </a:solidFill>
              <a:latin typeface="Arial" pitchFamily="34" charset="0"/>
              <a:cs typeface="Arial" pitchFamily="34" charset="0"/>
            </a:rPr>
            <a:t> Delay in Construciton Coverage as required onto line item E.</a:t>
          </a:r>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xdr:from>
      <xdr:col>13</xdr:col>
      <xdr:colOff>303530</xdr:colOff>
      <xdr:row>3</xdr:row>
      <xdr:rowOff>36196</xdr:rowOff>
    </xdr:from>
    <xdr:to>
      <xdr:col>23</xdr:col>
      <xdr:colOff>391818</xdr:colOff>
      <xdr:row>10</xdr:row>
      <xdr:rowOff>510540</xdr:rowOff>
    </xdr:to>
    <xdr:sp macro="" textlink="">
      <xdr:nvSpPr>
        <xdr:cNvPr id="2" name="Text Box 1">
          <a:extLst>
            <a:ext uri="{FF2B5EF4-FFF2-40B4-BE49-F238E27FC236}">
              <a16:creationId xmlns:a16="http://schemas.microsoft.com/office/drawing/2014/main" id="{00000000-0008-0000-0700-000002000000}"/>
            </a:ext>
          </a:extLst>
        </xdr:cNvPr>
        <xdr:cNvSpPr txBox="1">
          <a:spLocks noChangeArrowheads="1"/>
        </xdr:cNvSpPr>
      </xdr:nvSpPr>
      <xdr:spPr bwMode="auto">
        <a:xfrm>
          <a:off x="8808720" y="584836"/>
          <a:ext cx="5356860" cy="1548764"/>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ctr" rtl="0"/>
          <a:r>
            <a:rPr lang="en-US" sz="1050" b="1" i="1" u="sng" baseline="0">
              <a:solidFill>
                <a:srgbClr val="FF0000"/>
              </a:solidFill>
              <a:latin typeface="Arial Black" pitchFamily="34" charset="0"/>
              <a:ea typeface="+mn-ea"/>
              <a:cs typeface="Arial" pitchFamily="34" charset="0"/>
            </a:rPr>
            <a:t>QUICK START INSTRUCTIONS : THIS WILL NOT PRINT</a:t>
          </a:r>
          <a:endParaRPr lang="en-US" sz="1050" b="1" i="1" u="sng">
            <a:solidFill>
              <a:srgbClr val="FF0000"/>
            </a:solidFill>
            <a:latin typeface="Arial Black" pitchFamily="34" charset="0"/>
            <a:ea typeface="+mn-ea"/>
            <a:cs typeface="Arial" pitchFamily="34" charset="0"/>
          </a:endParaRPr>
        </a:p>
        <a:p>
          <a:pPr algn="l" rtl="0">
            <a:defRPr sz="1000"/>
          </a:pPr>
          <a:r>
            <a:rPr lang="en-US" sz="900" b="0" i="0" strike="noStrike" baseline="0">
              <a:solidFill>
                <a:srgbClr val="FF0000"/>
              </a:solidFill>
              <a:latin typeface="Arial" pitchFamily="34" charset="0"/>
              <a:cs typeface="Arial" pitchFamily="34" charset="0"/>
            </a:rPr>
            <a:t>1. Select Generic Type of Facility. This will be used for generic placeholder calculations below. </a:t>
          </a:r>
        </a:p>
        <a:p>
          <a:pPr algn="l" rtl="0">
            <a:defRPr sz="1000"/>
          </a:pPr>
          <a:r>
            <a:rPr lang="en-US" sz="900" b="0" i="0" strike="noStrike" baseline="0">
              <a:solidFill>
                <a:srgbClr val="FF0000"/>
              </a:solidFill>
              <a:latin typeface="Arial" pitchFamily="34" charset="0"/>
              <a:cs typeface="Arial" pitchFamily="34" charset="0"/>
            </a:rPr>
            <a:t>2. This form will need to be submitted at the initial proposal stage and </a:t>
          </a:r>
          <a:r>
            <a:rPr lang="en-US" sz="900" b="1" i="0" u="sng" strike="noStrike" baseline="0">
              <a:solidFill>
                <a:srgbClr val="FF0000"/>
              </a:solidFill>
              <a:latin typeface="Arial" pitchFamily="34" charset="0"/>
              <a:cs typeface="Arial" pitchFamily="34" charset="0"/>
            </a:rPr>
            <a:t>RESUBMITTED</a:t>
          </a:r>
          <a:r>
            <a:rPr lang="en-US" sz="900" b="0" i="0" u="sng" strike="noStrike" baseline="0">
              <a:solidFill>
                <a:srgbClr val="FF0000"/>
              </a:solidFill>
              <a:latin typeface="Arial" pitchFamily="34" charset="0"/>
              <a:cs typeface="Arial" pitchFamily="34" charset="0"/>
            </a:rPr>
            <a:t> at subsequent phases thru Schematic Design</a:t>
          </a:r>
          <a:endParaRPr lang="en-US" sz="900" b="0" i="0" strike="noStrike" baseline="0">
            <a:solidFill>
              <a:srgbClr val="FF0000"/>
            </a:solidFill>
            <a:latin typeface="Arial" pitchFamily="34" charset="0"/>
            <a:cs typeface="Arial" pitchFamily="34" charset="0"/>
          </a:endParaRPr>
        </a:p>
        <a:p>
          <a:pPr algn="l" rtl="0">
            <a:defRPr sz="1000"/>
          </a:pPr>
          <a:r>
            <a:rPr lang="en-US" sz="900" b="0" i="0" u="none" strike="noStrike" baseline="0">
              <a:solidFill>
                <a:srgbClr val="FF0000"/>
              </a:solidFill>
              <a:latin typeface="Arial" pitchFamily="34" charset="0"/>
              <a:cs typeface="Arial" pitchFamily="34" charset="0"/>
            </a:rPr>
            <a:t>3. Transfer PLUG values to Site Utilities on 2-7 line item G3040. Distribute between S/NS accordingly.</a:t>
          </a:r>
        </a:p>
        <a:p>
          <a:pPr algn="l" rtl="0">
            <a:defRPr sz="1000"/>
          </a:pPr>
          <a:endParaRPr lang="en-US" sz="900" b="0" i="0" u="none" strike="noStrike" baseline="0">
            <a:solidFill>
              <a:srgbClr val="FF0000"/>
            </a:solidFill>
            <a:latin typeface="Arial" pitchFamily="34" charset="0"/>
            <a:cs typeface="Arial" pitchFamily="34" charset="0"/>
          </a:endParaRPr>
        </a:p>
        <a:p>
          <a:pPr algn="l" rtl="0">
            <a:defRPr sz="1000"/>
          </a:pPr>
          <a:r>
            <a:rPr lang="en-US" sz="900" b="0" i="0" u="none" strike="noStrike" baseline="0">
              <a:solidFill>
                <a:srgbClr val="FF0000"/>
              </a:solidFill>
              <a:latin typeface="Arial" pitchFamily="34" charset="0"/>
              <a:cs typeface="Arial" pitchFamily="34" charset="0"/>
            </a:rPr>
            <a:t>	</a:t>
          </a:r>
          <a:r>
            <a:rPr lang="en-US" sz="900" b="1" i="0" u="sng" strike="noStrike" baseline="0">
              <a:solidFill>
                <a:srgbClr val="FF0000"/>
              </a:solidFill>
              <a:latin typeface="Arial" pitchFamily="34" charset="0"/>
              <a:cs typeface="Arial" pitchFamily="34" charset="0"/>
            </a:rPr>
            <a:t>NOTE</a:t>
          </a:r>
          <a:r>
            <a:rPr lang="en-US" sz="900" b="0" i="0" u="none" strike="noStrike" baseline="0">
              <a:solidFill>
                <a:srgbClr val="FF0000"/>
              </a:solidFill>
              <a:latin typeface="Arial" pitchFamily="34" charset="0"/>
              <a:cs typeface="Arial" pitchFamily="34" charset="0"/>
            </a:rPr>
            <a:t>: For Outyear submittals, absent of a Feasibility Study, placeholder calculations are generated based on  facility size and type . </a:t>
          </a:r>
        </a:p>
        <a:p>
          <a:pPr algn="l" rtl="0">
            <a:defRPr sz="1000"/>
          </a:pPr>
          <a:r>
            <a:rPr lang="en-US" sz="900" b="0" i="0" u="none" strike="noStrike" baseline="0">
              <a:solidFill>
                <a:srgbClr val="FF0000"/>
              </a:solidFill>
              <a:latin typeface="Arial" pitchFamily="34" charset="0"/>
              <a:cs typeface="Arial" pitchFamily="34" charset="0"/>
            </a:rPr>
            <a:t>	Placeholders  can be overwritten once estimate costs are confirmed on the feasibility study.</a:t>
          </a:r>
          <a:endParaRPr lang="en-US" sz="800" b="0" i="0" strike="noStrike" baseline="0">
            <a:solidFill>
              <a:srgbClr val="FF0000"/>
            </a:solidFill>
            <a:latin typeface="Arial" pitchFamily="34" charset="0"/>
            <a:cs typeface="Arial" pitchFamily="34" charset="0"/>
          </a:endParaRPr>
        </a:p>
      </xdr:txBody>
    </xdr:sp>
    <xdr:clientData fPrintsWithSheet="0"/>
  </xdr:twoCellAnchor>
  <xdr:twoCellAnchor>
    <xdr:from>
      <xdr:col>3</xdr:col>
      <xdr:colOff>857250</xdr:colOff>
      <xdr:row>67</xdr:row>
      <xdr:rowOff>123825</xdr:rowOff>
    </xdr:from>
    <xdr:to>
      <xdr:col>7</xdr:col>
      <xdr:colOff>676275</xdr:colOff>
      <xdr:row>71</xdr:row>
      <xdr:rowOff>38100</xdr:rowOff>
    </xdr:to>
    <xdr:grpSp>
      <xdr:nvGrpSpPr>
        <xdr:cNvPr id="24064" name="Group 100">
          <a:extLst>
            <a:ext uri="{FF2B5EF4-FFF2-40B4-BE49-F238E27FC236}">
              <a16:creationId xmlns:a16="http://schemas.microsoft.com/office/drawing/2014/main" id="{00000000-0008-0000-0700-0000005E0000}"/>
            </a:ext>
          </a:extLst>
        </xdr:cNvPr>
        <xdr:cNvGrpSpPr>
          <a:grpSpLocks/>
        </xdr:cNvGrpSpPr>
      </xdr:nvGrpSpPr>
      <xdr:grpSpPr bwMode="auto">
        <a:xfrm>
          <a:off x="1914525" y="11001375"/>
          <a:ext cx="3028950" cy="523875"/>
          <a:chOff x="213" y="1147"/>
          <a:chExt cx="254" cy="54"/>
        </a:xfrm>
      </xdr:grpSpPr>
      <xdr:sp macro="" textlink="">
        <xdr:nvSpPr>
          <xdr:cNvPr id="12324" name="Option Button 36" hidden="1">
            <a:extLst>
              <a:ext uri="{63B3BB69-23CF-44E3-9099-C40C66FF867C}">
                <a14:compatExt xmlns:a14="http://schemas.microsoft.com/office/drawing/2010/main" spid="_x0000_s12324"/>
              </a:ext>
              <a:ext uri="{FF2B5EF4-FFF2-40B4-BE49-F238E27FC236}">
                <a16:creationId xmlns:a16="http://schemas.microsoft.com/office/drawing/2014/main" id="{00000000-0008-0000-0700-000024300000}"/>
              </a:ext>
            </a:extLst>
          </xdr:cNvPr>
          <xdr:cNvSpPr/>
        </xdr:nvSpPr>
        <xdr:spPr bwMode="auto">
          <a:xfrm>
            <a:off x="213" y="1147"/>
            <a:ext cx="57" cy="2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Steam</a:t>
            </a:r>
          </a:p>
        </xdr:txBody>
      </xdr:sp>
      <xdr:sp macro="" textlink="">
        <xdr:nvSpPr>
          <xdr:cNvPr id="12328" name="Option Button 40" hidden="1">
            <a:extLst>
              <a:ext uri="{63B3BB69-23CF-44E3-9099-C40C66FF867C}">
                <a14:compatExt xmlns:a14="http://schemas.microsoft.com/office/drawing/2010/main" spid="_x0000_s12328"/>
              </a:ext>
              <a:ext uri="{FF2B5EF4-FFF2-40B4-BE49-F238E27FC236}">
                <a16:creationId xmlns:a16="http://schemas.microsoft.com/office/drawing/2014/main" id="{00000000-0008-0000-0700-000028300000}"/>
              </a:ext>
            </a:extLst>
          </xdr:cNvPr>
          <xdr:cNvSpPr/>
        </xdr:nvSpPr>
        <xdr:spPr bwMode="auto">
          <a:xfrm>
            <a:off x="213" y="1178"/>
            <a:ext cx="254" cy="2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Low Temp Heating Water (temp&lt;= 212 deg F)</a:t>
            </a:r>
          </a:p>
        </xdr:txBody>
      </xdr:sp>
      <xdr:sp macro="" textlink="">
        <xdr:nvSpPr>
          <xdr:cNvPr id="12326" name="Option Button 38" hidden="1">
            <a:extLst>
              <a:ext uri="{63B3BB69-23CF-44E3-9099-C40C66FF867C}">
                <a14:compatExt xmlns:a14="http://schemas.microsoft.com/office/drawing/2010/main" spid="_x0000_s12326"/>
              </a:ext>
              <a:ext uri="{FF2B5EF4-FFF2-40B4-BE49-F238E27FC236}">
                <a16:creationId xmlns:a16="http://schemas.microsoft.com/office/drawing/2014/main" id="{00000000-0008-0000-0700-000026300000}"/>
              </a:ext>
            </a:extLst>
          </xdr:cNvPr>
          <xdr:cNvSpPr/>
        </xdr:nvSpPr>
        <xdr:spPr bwMode="auto">
          <a:xfrm>
            <a:off x="213" y="1162"/>
            <a:ext cx="241" cy="2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High Temp Heating Water (temp&gt;= 212 deg F)</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8</xdr:col>
      <xdr:colOff>38100</xdr:colOff>
      <xdr:row>0</xdr:row>
      <xdr:rowOff>170178</xdr:rowOff>
    </xdr:from>
    <xdr:to>
      <xdr:col>16</xdr:col>
      <xdr:colOff>394036</xdr:colOff>
      <xdr:row>9</xdr:row>
      <xdr:rowOff>66716</xdr:rowOff>
    </xdr:to>
    <xdr:sp macro="" textlink="">
      <xdr:nvSpPr>
        <xdr:cNvPr id="2" name="Text Box 1">
          <a:extLst>
            <a:ext uri="{FF2B5EF4-FFF2-40B4-BE49-F238E27FC236}">
              <a16:creationId xmlns:a16="http://schemas.microsoft.com/office/drawing/2014/main" id="{00000000-0008-0000-0A00-000002000000}"/>
            </a:ext>
          </a:extLst>
        </xdr:cNvPr>
        <xdr:cNvSpPr txBox="1">
          <a:spLocks noChangeArrowheads="1"/>
        </xdr:cNvSpPr>
      </xdr:nvSpPr>
      <xdr:spPr bwMode="auto">
        <a:xfrm>
          <a:off x="8124825" y="171448"/>
          <a:ext cx="4429125" cy="1562101"/>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lnSpc>
              <a:spcPts val="1000"/>
            </a:lnSpc>
            <a:defRPr sz="1000"/>
          </a:pPr>
          <a:r>
            <a:rPr lang="en-US" sz="1000" b="1" i="0" strike="noStrike">
              <a:solidFill>
                <a:srgbClr val="FF0000"/>
              </a:solidFill>
              <a:latin typeface="Tms Rmn"/>
            </a:rPr>
            <a:t>NOTES:</a:t>
          </a:r>
        </a:p>
        <a:p>
          <a:pPr algn="l" rtl="0">
            <a:lnSpc>
              <a:spcPts val="1000"/>
            </a:lnSpc>
            <a:defRPr sz="1000"/>
          </a:pPr>
          <a:r>
            <a:rPr lang="en-US" sz="1000" b="0" i="0" strike="noStrike" baseline="0">
              <a:solidFill>
                <a:srgbClr val="FF0000"/>
              </a:solidFill>
              <a:latin typeface="Tms Rmn"/>
            </a:rPr>
            <a:t>Items on checklist are evaluated by separating associated costs between Building and Site. Credits that contain costs that are normally not associated with a building project proposal (i.e. Site acquisitions, etc...) and are classified as not applicable. </a:t>
          </a:r>
        </a:p>
        <a:p>
          <a:pPr algn="l" rtl="0">
            <a:lnSpc>
              <a:spcPts val="1000"/>
            </a:lnSpc>
            <a:defRPr sz="1000"/>
          </a:pPr>
          <a:endParaRPr lang="en-US" sz="1000" b="0" i="0" strike="noStrike" baseline="0">
            <a:solidFill>
              <a:srgbClr val="FF0000"/>
            </a:solidFill>
            <a:latin typeface="Tms Rmn"/>
          </a:endParaRPr>
        </a:p>
        <a:p>
          <a:pPr algn="l" rtl="0">
            <a:lnSpc>
              <a:spcPts val="1000"/>
            </a:lnSpc>
            <a:defRPr sz="1000"/>
          </a:pPr>
          <a:r>
            <a:rPr lang="en-US" sz="1000" b="0" i="0" strike="noStrike" baseline="0">
              <a:solidFill>
                <a:srgbClr val="FF0000"/>
              </a:solidFill>
              <a:latin typeface="Tms Rmn"/>
            </a:rPr>
            <a:t>Items in RED font in the N/A column are credits that do not generate cost.</a:t>
          </a:r>
        </a:p>
        <a:p>
          <a:pPr algn="l" rtl="0">
            <a:lnSpc>
              <a:spcPts val="1000"/>
            </a:lnSpc>
            <a:defRPr sz="1000"/>
          </a:pPr>
          <a:r>
            <a:rPr lang="en-US" sz="1000" b="0" i="0" strike="noStrike" baseline="0">
              <a:solidFill>
                <a:srgbClr val="FF0000"/>
              </a:solidFill>
              <a:latin typeface="Tms Rmn"/>
            </a:rPr>
            <a:t>Items in RED font in the Bldg and Site columns are credits more difficult to acheive and are not included in the average points obtained. </a:t>
          </a:r>
        </a:p>
        <a:p>
          <a:pPr algn="l" rtl="0">
            <a:lnSpc>
              <a:spcPts val="1000"/>
            </a:lnSpc>
            <a:defRPr sz="1000"/>
          </a:pPr>
          <a:endParaRPr lang="en-US" sz="1000" b="0" i="0" strike="noStrike" baseline="0">
            <a:solidFill>
              <a:srgbClr val="FF0000"/>
            </a:solidFill>
            <a:latin typeface="Tms Rmn"/>
          </a:endParaRPr>
        </a:p>
        <a:p>
          <a:pPr algn="l" rtl="0">
            <a:lnSpc>
              <a:spcPts val="900"/>
            </a:lnSpc>
            <a:defRPr sz="1000"/>
          </a:pPr>
          <a:endParaRPr lang="en-US" sz="1000" b="0" i="0" strike="noStrike" baseline="0">
            <a:solidFill>
              <a:srgbClr val="FF0000"/>
            </a:solidFill>
            <a:latin typeface="Tms Rmn"/>
          </a:endParaRPr>
        </a:p>
        <a:p>
          <a:pPr algn="l" rtl="0">
            <a:lnSpc>
              <a:spcPts val="1000"/>
            </a:lnSpc>
            <a:defRPr sz="1000"/>
          </a:pPr>
          <a:endParaRPr lang="en-US" sz="1000" b="0" i="0" strike="noStrike" baseline="0">
            <a:solidFill>
              <a:srgbClr val="FF0000"/>
            </a:solidFill>
            <a:latin typeface="Tms Rmn"/>
          </a:endParaRPr>
        </a:p>
        <a:p>
          <a:pPr algn="l" rtl="0">
            <a:lnSpc>
              <a:spcPts val="900"/>
            </a:lnSpc>
            <a:defRPr sz="1000"/>
          </a:pPr>
          <a:r>
            <a:rPr lang="en-US" sz="1000" b="0" i="0" strike="noStrike" baseline="0">
              <a:solidFill>
                <a:srgbClr val="FF0000"/>
              </a:solidFill>
              <a:latin typeface="Tms Rmn"/>
            </a:rPr>
            <a:t>	</a:t>
          </a:r>
        </a:p>
      </xdr:txBody>
    </xdr:sp>
    <xdr:clientData fPrintsWithSheet="0"/>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msmith\Desktop\2-7-2020-2021-Fiscal-Year-CCCI%207197-EPI%2035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7"/>
      <sheetName val="USER INPUT"/>
      <sheetName val="Insurance (DBB)"/>
      <sheetName val="Insurance (DB)"/>
      <sheetName val="Insurance (Collaborative DB)"/>
      <sheetName val="Insurance (CM@R)"/>
      <sheetName val="INSURANCE"/>
      <sheetName val="2-8 SITE UTILITIES"/>
      <sheetName val="FEE CALCS"/>
      <sheetName val="REFERENCE"/>
      <sheetName val="LEED v3"/>
      <sheetName val="INSTRUCTIONS"/>
    </sheetNames>
    <sheetDataSet>
      <sheetData sheetId="0"/>
      <sheetData sheetId="1"/>
      <sheetData sheetId="2"/>
      <sheetData sheetId="3"/>
      <sheetData sheetId="4"/>
      <sheetData sheetId="5"/>
      <sheetData sheetId="6"/>
      <sheetData sheetId="7"/>
      <sheetData sheetId="8"/>
      <sheetData sheetId="9">
        <row r="33">
          <cell r="T33">
            <v>0.01</v>
          </cell>
        </row>
        <row r="34">
          <cell r="W34">
            <v>1.4999999999999999E-2</v>
          </cell>
        </row>
        <row r="46">
          <cell r="V46">
            <v>0</v>
          </cell>
        </row>
      </sheetData>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7.bin"/><Relationship Id="rId4" Type="http://schemas.openxmlformats.org/officeDocument/2006/relationships/comments" Target="../comments3.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8.bin"/><Relationship Id="rId4" Type="http://schemas.openxmlformats.org/officeDocument/2006/relationships/comments" Target="../comments4.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1">
    <tabColor rgb="FFFFFF00"/>
  </sheetPr>
  <dimension ref="A1:EN316"/>
  <sheetViews>
    <sheetView zoomScaleNormal="100" zoomScaleSheetLayoutView="90" workbookViewId="0"/>
  </sheetViews>
  <sheetFormatPr defaultColWidth="12" defaultRowHeight="12"/>
  <cols>
    <col min="1" max="1" width="4" style="5" customWidth="1"/>
    <col min="2" max="2" width="5.5" style="5" customWidth="1"/>
    <col min="3" max="3" width="5" style="5" customWidth="1"/>
    <col min="4" max="4" width="6" style="12" customWidth="1"/>
    <col min="5" max="5" width="3.33203125" style="5" customWidth="1"/>
    <col min="6" max="6" width="6" style="5" customWidth="1"/>
    <col min="7" max="7" width="3" style="5" customWidth="1"/>
    <col min="8" max="8" width="4.33203125" style="5" customWidth="1"/>
    <col min="9" max="9" width="3.83203125" style="5" customWidth="1"/>
    <col min="10" max="11" width="3.6640625" style="5" customWidth="1"/>
    <col min="12" max="12" width="17.5" style="5" customWidth="1"/>
    <col min="13" max="13" width="9" style="5" customWidth="1"/>
    <col min="14" max="14" width="5.1640625" style="5" customWidth="1"/>
    <col min="15" max="15" width="13.1640625" style="5" customWidth="1"/>
    <col min="16" max="16" width="3.83203125" style="5" customWidth="1"/>
    <col min="17" max="17" width="12.6640625" style="5" customWidth="1"/>
    <col min="18" max="18" width="3" style="5" customWidth="1"/>
    <col min="19" max="19" width="12.33203125" style="58" customWidth="1"/>
    <col min="20" max="20" width="5.6640625" style="58" customWidth="1"/>
    <col min="21" max="21" width="13" style="58" customWidth="1"/>
    <col min="22" max="22" width="3" style="13" customWidth="1"/>
    <col min="23" max="23" width="12.6640625" style="58" customWidth="1"/>
    <col min="24" max="24" width="12" style="58" customWidth="1"/>
    <col min="25" max="25" width="13.83203125" style="58" customWidth="1"/>
    <col min="26" max="26" width="14" style="58" customWidth="1"/>
    <col min="27" max="27" width="11.5" style="5" customWidth="1"/>
    <col min="28" max="28" width="15.6640625" style="5" customWidth="1"/>
    <col min="29" max="29" width="14.5" style="5" customWidth="1"/>
    <col min="30" max="30" width="16.1640625" style="5" customWidth="1"/>
    <col min="31" max="31" width="14.83203125" style="5" customWidth="1"/>
    <col min="32" max="32" width="13.6640625" style="5" customWidth="1"/>
    <col min="33" max="33" width="1.6640625" style="5" customWidth="1"/>
    <col min="34" max="34" width="13" style="5" customWidth="1"/>
    <col min="35" max="35" width="1.83203125" style="5" hidden="1" customWidth="1"/>
    <col min="36" max="36" width="12" style="5" customWidth="1"/>
    <col min="37" max="37" width="14.33203125" style="5" customWidth="1"/>
    <col min="38" max="38" width="17.6640625" style="16" customWidth="1"/>
    <col min="39" max="39" width="13.6640625" style="6" customWidth="1"/>
    <col min="40" max="40" width="18.6640625" style="5" customWidth="1"/>
    <col min="41" max="41" width="15.83203125" style="5" customWidth="1"/>
    <col min="42" max="42" width="13" style="5" customWidth="1"/>
    <col min="43" max="43" width="13.6640625" style="5" customWidth="1"/>
    <col min="44" max="44" width="1.6640625" style="5" customWidth="1"/>
    <col min="45" max="45" width="12" style="5" customWidth="1"/>
    <col min="46" max="46" width="1.6640625" style="5" hidden="1" customWidth="1"/>
    <col min="47" max="47" width="12" style="5" customWidth="1"/>
    <col min="48" max="48" width="14.5" style="5" customWidth="1"/>
    <col min="49" max="49" width="17.6640625" style="16" customWidth="1"/>
    <col min="50" max="54" width="12" style="5"/>
    <col min="55" max="55" width="1.6640625" style="5" customWidth="1"/>
    <col min="56" max="56" width="12" style="5"/>
    <col min="57" max="57" width="0" style="5" hidden="1" customWidth="1"/>
    <col min="58" max="59" width="12" style="5"/>
    <col min="60" max="60" width="17.6640625" style="5" customWidth="1"/>
    <col min="61" max="65" width="12" style="5"/>
    <col min="66" max="66" width="1.6640625" style="5" customWidth="1"/>
    <col min="67" max="67" width="12" style="5"/>
    <col min="68" max="68" width="0" style="5" hidden="1" customWidth="1"/>
    <col min="69" max="70" width="12" style="5"/>
    <col min="71" max="71" width="17.6640625" style="5" customWidth="1"/>
    <col min="72" max="16384" width="12" style="5"/>
  </cols>
  <sheetData>
    <row r="1" spans="1:71" ht="12.75" customHeight="1">
      <c r="A1" s="1092" t="s">
        <v>0</v>
      </c>
      <c r="B1" s="1"/>
      <c r="C1" s="671"/>
      <c r="D1" s="79"/>
      <c r="E1" s="79"/>
      <c r="F1" s="79"/>
      <c r="G1" s="1"/>
      <c r="H1" s="1"/>
      <c r="I1" s="1"/>
      <c r="J1" s="1"/>
      <c r="K1" s="1"/>
      <c r="L1" s="1"/>
      <c r="M1" s="1"/>
      <c r="N1" s="1"/>
      <c r="O1" s="94"/>
      <c r="P1" s="4" t="s">
        <v>1</v>
      </c>
      <c r="Q1" s="94"/>
      <c r="R1" s="94"/>
      <c r="S1" s="95"/>
      <c r="T1" s="95"/>
      <c r="U1" s="157"/>
      <c r="V1" s="157"/>
      <c r="W1" s="1221"/>
      <c r="X1" s="1222"/>
      <c r="Y1" s="470"/>
      <c r="Z1" s="470"/>
      <c r="AA1" s="471"/>
      <c r="AB1" s="1322" t="s">
        <v>2</v>
      </c>
      <c r="AC1" s="1322"/>
      <c r="AD1" s="1322"/>
      <c r="AE1" s="1322"/>
      <c r="AF1" s="1322"/>
      <c r="AG1" s="1322"/>
      <c r="AH1" s="1322"/>
      <c r="AI1" s="1322"/>
      <c r="AJ1" s="1322"/>
      <c r="AK1" s="1322"/>
      <c r="AL1" s="1322"/>
      <c r="AM1" s="1328" t="s">
        <v>3</v>
      </c>
      <c r="AN1" s="1322"/>
      <c r="AO1" s="1322"/>
      <c r="AP1" s="1322"/>
      <c r="AQ1" s="1322"/>
      <c r="AR1" s="1322"/>
      <c r="AS1" s="1322"/>
      <c r="AT1" s="1322"/>
      <c r="AU1" s="1322"/>
      <c r="AV1" s="1322"/>
      <c r="AW1" s="1329"/>
      <c r="AX1" s="1328" t="s">
        <v>4</v>
      </c>
      <c r="AY1" s="1322"/>
      <c r="AZ1" s="1322"/>
      <c r="BA1" s="1322"/>
      <c r="BB1" s="1322"/>
      <c r="BC1" s="1322"/>
      <c r="BD1" s="1322"/>
      <c r="BE1" s="1322"/>
      <c r="BF1" s="1322"/>
      <c r="BG1" s="1322"/>
      <c r="BH1" s="1329"/>
      <c r="BI1" s="1328" t="s">
        <v>5</v>
      </c>
      <c r="BJ1" s="1322"/>
      <c r="BK1" s="1322"/>
      <c r="BL1" s="1322"/>
      <c r="BM1" s="1322"/>
      <c r="BN1" s="1322"/>
      <c r="BO1" s="1322"/>
      <c r="BP1" s="1322"/>
      <c r="BQ1" s="1322"/>
      <c r="BR1" s="1322"/>
      <c r="BS1" s="1329"/>
    </row>
    <row r="2" spans="1:71" ht="12" customHeight="1">
      <c r="A2" s="672" t="s">
        <v>6</v>
      </c>
      <c r="B2" s="7"/>
      <c r="C2" s="7"/>
      <c r="D2" s="1323" t="s">
        <v>7</v>
      </c>
      <c r="E2" s="1323"/>
      <c r="F2" s="1323"/>
      <c r="G2" s="1324"/>
      <c r="H2" s="1324"/>
      <c r="I2" s="1324"/>
      <c r="J2" s="1324"/>
      <c r="K2" s="1324"/>
      <c r="L2" s="685"/>
      <c r="M2" s="685"/>
      <c r="N2" s="7"/>
      <c r="O2" s="12"/>
      <c r="P2" s="1272" t="s">
        <v>8</v>
      </c>
      <c r="Q2" s="12"/>
      <c r="R2" s="12"/>
      <c r="S2" s="13"/>
      <c r="T2" s="13"/>
      <c r="U2" s="8"/>
      <c r="V2" s="8"/>
      <c r="W2" s="13"/>
      <c r="X2" s="54"/>
      <c r="Y2" s="472"/>
      <c r="Z2" s="550" t="s">
        <v>9</v>
      </c>
      <c r="AA2" s="472"/>
      <c r="AB2" s="1271"/>
      <c r="AC2" s="39"/>
      <c r="AD2" s="7"/>
      <c r="AE2" s="7"/>
      <c r="AF2" s="99" t="s">
        <v>1</v>
      </c>
      <c r="AG2" s="7"/>
      <c r="AH2" s="1272"/>
      <c r="AI2" s="99"/>
      <c r="AJ2" s="99"/>
      <c r="AK2" s="100"/>
      <c r="AL2" s="1261"/>
      <c r="AM2" s="11" t="s">
        <v>1</v>
      </c>
      <c r="AN2" s="7"/>
      <c r="AO2" s="7"/>
      <c r="AP2" s="7"/>
      <c r="AQ2" s="7"/>
      <c r="AR2" s="7"/>
      <c r="AS2" s="7"/>
      <c r="AT2" s="7"/>
      <c r="AU2" s="7"/>
      <c r="AV2" s="7"/>
      <c r="AW2" s="10"/>
      <c r="AX2" s="11" t="s">
        <v>1</v>
      </c>
      <c r="AY2" s="7"/>
      <c r="AZ2" s="7"/>
      <c r="BA2" s="7"/>
      <c r="BB2" s="7"/>
      <c r="BC2" s="7"/>
      <c r="BD2" s="7"/>
      <c r="BE2" s="7"/>
      <c r="BF2" s="7"/>
      <c r="BG2" s="7"/>
      <c r="BH2" s="10"/>
      <c r="BI2" s="11" t="s">
        <v>1</v>
      </c>
      <c r="BJ2" s="7"/>
      <c r="BK2" s="7"/>
      <c r="BL2" s="7"/>
      <c r="BM2" s="7"/>
      <c r="BN2" s="7"/>
      <c r="BO2" s="7"/>
      <c r="BP2" s="7"/>
      <c r="BQ2" s="7"/>
      <c r="BR2" s="7"/>
      <c r="BS2" s="10"/>
    </row>
    <row r="3" spans="1:71" ht="12" customHeight="1">
      <c r="A3" s="6"/>
      <c r="B3" s="12"/>
      <c r="C3" s="12"/>
      <c r="D3" s="686"/>
      <c r="E3" s="686"/>
      <c r="F3" s="686"/>
      <c r="G3" s="686"/>
      <c r="H3" s="686"/>
      <c r="I3" s="686"/>
      <c r="J3" s="686"/>
      <c r="K3" s="686"/>
      <c r="L3" s="686"/>
      <c r="M3" s="686"/>
      <c r="N3" s="12"/>
      <c r="U3" s="13"/>
      <c r="X3" s="54"/>
      <c r="Y3" s="473"/>
      <c r="Z3" s="551" t="s">
        <v>10</v>
      </c>
      <c r="AA3" s="473"/>
      <c r="AB3" s="11"/>
      <c r="AC3" s="7"/>
      <c r="AD3" s="1322" t="s">
        <v>11</v>
      </c>
      <c r="AE3" s="1322"/>
      <c r="AF3" s="1322"/>
      <c r="AG3" s="1322"/>
      <c r="AH3" s="1322"/>
      <c r="AI3" s="1322"/>
      <c r="AJ3" s="1322"/>
      <c r="AK3" s="56"/>
      <c r="AL3" s="1261"/>
      <c r="AM3" s="11" t="s">
        <v>12</v>
      </c>
      <c r="AN3" s="7"/>
      <c r="AO3" s="7"/>
      <c r="AP3" s="7"/>
      <c r="AQ3" s="7"/>
      <c r="AR3" s="7"/>
      <c r="AS3" s="7"/>
      <c r="AT3" s="7"/>
      <c r="AU3" s="7"/>
      <c r="AV3" s="7"/>
      <c r="AW3" s="10"/>
      <c r="AX3" s="11" t="s">
        <v>12</v>
      </c>
      <c r="AY3" s="7"/>
      <c r="AZ3" s="7"/>
      <c r="BA3" s="7"/>
      <c r="BB3" s="7"/>
      <c r="BC3" s="7"/>
      <c r="BD3" s="7"/>
      <c r="BE3" s="7"/>
      <c r="BF3" s="7"/>
      <c r="BG3" s="7"/>
      <c r="BH3" s="10"/>
      <c r="BI3" s="11" t="s">
        <v>12</v>
      </c>
      <c r="BJ3" s="7"/>
      <c r="BK3" s="7"/>
      <c r="BL3" s="7"/>
      <c r="BM3" s="7"/>
      <c r="BN3" s="7"/>
      <c r="BO3" s="7"/>
      <c r="BP3" s="7"/>
      <c r="BQ3" s="7"/>
      <c r="BR3" s="7"/>
      <c r="BS3" s="10"/>
    </row>
    <row r="4" spans="1:71" ht="11.25" customHeight="1">
      <c r="A4" s="14"/>
      <c r="B4" s="15"/>
      <c r="C4" s="15"/>
      <c r="D4" s="687"/>
      <c r="E4" s="687"/>
      <c r="F4" s="687"/>
      <c r="G4" s="687"/>
      <c r="H4" s="687"/>
      <c r="I4" s="687"/>
      <c r="J4" s="687"/>
      <c r="K4" s="687"/>
      <c r="L4" s="687"/>
      <c r="M4" s="687"/>
      <c r="N4" s="15"/>
      <c r="O4" s="407" t="s">
        <v>13</v>
      </c>
      <c r="P4" s="1198"/>
      <c r="Q4" s="1198"/>
      <c r="R4" s="1198"/>
      <c r="S4" s="1198"/>
      <c r="T4" s="408" t="s">
        <v>14</v>
      </c>
      <c r="U4" s="13"/>
      <c r="W4" s="673" t="s">
        <v>15</v>
      </c>
      <c r="X4" s="1220"/>
      <c r="Y4" s="473"/>
      <c r="Z4" s="473"/>
      <c r="AA4" s="473"/>
      <c r="AB4" s="6"/>
      <c r="AC4" s="12"/>
      <c r="AD4" s="12"/>
      <c r="AE4" s="12"/>
      <c r="AF4" s="12"/>
      <c r="AG4" s="12"/>
      <c r="AH4" s="24"/>
      <c r="AI4" s="24"/>
      <c r="AJ4" s="24"/>
      <c r="AK4" s="24" t="s">
        <v>16</v>
      </c>
      <c r="AL4" s="1262"/>
      <c r="AN4" s="12"/>
      <c r="AO4" s="12"/>
      <c r="AP4" s="12"/>
      <c r="AQ4" s="12"/>
      <c r="AR4" s="12"/>
      <c r="AS4" s="12"/>
      <c r="AT4" s="12"/>
      <c r="AU4" s="12"/>
      <c r="AV4" s="12"/>
      <c r="AX4" s="6"/>
      <c r="AY4" s="12"/>
      <c r="AZ4" s="12"/>
      <c r="BA4" s="12"/>
      <c r="BB4" s="12"/>
      <c r="BC4" s="12"/>
      <c r="BD4" s="12"/>
      <c r="BE4" s="12"/>
      <c r="BF4" s="12"/>
      <c r="BG4" s="12"/>
      <c r="BH4" s="16"/>
      <c r="BI4" s="6"/>
      <c r="BJ4" s="12"/>
      <c r="BK4" s="12"/>
      <c r="BL4" s="12"/>
      <c r="BM4" s="12"/>
      <c r="BN4" s="12"/>
      <c r="BO4" s="12"/>
      <c r="BP4" s="12"/>
      <c r="BQ4" s="12"/>
      <c r="BR4" s="12"/>
      <c r="BS4" s="16"/>
    </row>
    <row r="5" spans="1:71" ht="12" customHeight="1">
      <c r="A5" s="17" t="s">
        <v>17</v>
      </c>
      <c r="B5" s="15"/>
      <c r="C5" s="18"/>
      <c r="D5" s="1326" t="s">
        <v>18</v>
      </c>
      <c r="E5" s="1326"/>
      <c r="F5" s="1326"/>
      <c r="G5" s="1326"/>
      <c r="H5" s="1326"/>
      <c r="I5" s="1326"/>
      <c r="J5" s="1326"/>
      <c r="K5" s="1326"/>
      <c r="L5" s="1326"/>
      <c r="M5" s="1326"/>
      <c r="N5" s="12"/>
      <c r="O5" s="12" t="s">
        <v>19</v>
      </c>
      <c r="P5" s="12"/>
      <c r="Q5" s="12"/>
      <c r="R5" s="90" t="s">
        <v>20</v>
      </c>
      <c r="S5" s="120">
        <v>43646</v>
      </c>
      <c r="T5" s="13"/>
      <c r="U5" s="13"/>
      <c r="W5" s="673" t="s">
        <v>21</v>
      </c>
      <c r="X5" s="1095" t="s">
        <v>1165</v>
      </c>
      <c r="Y5" s="903"/>
      <c r="Z5" s="904" t="s">
        <v>23</v>
      </c>
      <c r="AA5" s="903"/>
      <c r="AB5" s="19" t="s">
        <v>24</v>
      </c>
      <c r="AC5" s="20" t="str">
        <f>D5</f>
        <v>SELECT CAMPUS</v>
      </c>
      <c r="AD5" s="21"/>
      <c r="AE5" s="21"/>
      <c r="AF5" s="21"/>
      <c r="AG5" s="21"/>
      <c r="AH5" s="21"/>
      <c r="AI5" s="12"/>
      <c r="AJ5" s="21" t="s">
        <v>25</v>
      </c>
      <c r="AK5" s="22" t="str">
        <f>IF(X4&lt;1, " ",X4)</f>
        <v xml:space="preserve"> </v>
      </c>
      <c r="AL5" s="12"/>
      <c r="AM5" s="19" t="s">
        <v>24</v>
      </c>
      <c r="AN5" s="20" t="str">
        <f>D5</f>
        <v>SELECT CAMPUS</v>
      </c>
      <c r="AO5" s="21"/>
      <c r="AP5" s="21"/>
      <c r="AQ5" s="21"/>
      <c r="AR5" s="21"/>
      <c r="AS5" s="21"/>
      <c r="AT5" s="12"/>
      <c r="AU5" s="21" t="s">
        <v>25</v>
      </c>
      <c r="AV5" s="22" t="str">
        <f>IF(X4&lt;1, " ",X4)</f>
        <v xml:space="preserve"> </v>
      </c>
      <c r="AX5" s="19" t="s">
        <v>24</v>
      </c>
      <c r="AY5" s="20" t="str">
        <f>D5</f>
        <v>SELECT CAMPUS</v>
      </c>
      <c r="AZ5" s="21"/>
      <c r="BA5" s="21"/>
      <c r="BB5" s="21"/>
      <c r="BC5" s="21"/>
      <c r="BD5" s="21"/>
      <c r="BE5" s="12"/>
      <c r="BF5" s="21" t="s">
        <v>25</v>
      </c>
      <c r="BG5" s="22" t="str">
        <f>IF(X4&lt;1, " ",X4)</f>
        <v xml:space="preserve"> </v>
      </c>
      <c r="BH5" s="16"/>
      <c r="BI5" s="19" t="s">
        <v>24</v>
      </c>
      <c r="BJ5" s="20" t="str">
        <f>D5</f>
        <v>SELECT CAMPUS</v>
      </c>
      <c r="BK5" s="21"/>
      <c r="BL5" s="21"/>
      <c r="BM5" s="21"/>
      <c r="BN5" s="21"/>
      <c r="BO5" s="21"/>
      <c r="BP5" s="12"/>
      <c r="BQ5" s="21" t="s">
        <v>25</v>
      </c>
      <c r="BR5" s="22" t="str">
        <f>IF(X4&lt;1, " ",X4)</f>
        <v xml:space="preserve"> </v>
      </c>
      <c r="BS5" s="16"/>
    </row>
    <row r="6" spans="1:71" ht="12" customHeight="1">
      <c r="A6" s="17" t="s">
        <v>26</v>
      </c>
      <c r="B6" s="15"/>
      <c r="C6" s="18"/>
      <c r="D6" s="688" t="s">
        <v>27</v>
      </c>
      <c r="E6" s="689"/>
      <c r="F6" s="689"/>
      <c r="G6" s="689"/>
      <c r="H6" s="689"/>
      <c r="I6" s="689"/>
      <c r="J6" s="689"/>
      <c r="K6" s="689"/>
      <c r="L6" s="689"/>
      <c r="M6" s="689"/>
      <c r="N6" s="12"/>
      <c r="O6" s="5" t="s">
        <v>28</v>
      </c>
      <c r="R6" s="5" t="s">
        <v>20</v>
      </c>
      <c r="S6" s="291">
        <f>S5+T6</f>
        <v>43706</v>
      </c>
      <c r="T6" s="690">
        <v>60</v>
      </c>
      <c r="W6" s="673" t="s">
        <v>29</v>
      </c>
      <c r="X6" s="1096">
        <v>10461</v>
      </c>
      <c r="Y6" s="905"/>
      <c r="Z6" s="904" t="s">
        <v>30</v>
      </c>
      <c r="AA6" s="905"/>
      <c r="AB6" s="19" t="s">
        <v>31</v>
      </c>
      <c r="AC6" s="23" t="str">
        <f>D6</f>
        <v>[ PROJECT NAME ]</v>
      </c>
      <c r="AD6" s="12"/>
      <c r="AE6" s="12"/>
      <c r="AF6" s="12"/>
      <c r="AG6" s="12"/>
      <c r="AH6" s="3"/>
      <c r="AI6" s="12"/>
      <c r="AJ6" s="24" t="s">
        <v>32</v>
      </c>
      <c r="AK6" s="25">
        <f>+X6</f>
        <v>10461</v>
      </c>
      <c r="AL6" s="12"/>
      <c r="AM6" s="19" t="s">
        <v>31</v>
      </c>
      <c r="AN6" s="23" t="str">
        <f>D6</f>
        <v>[ PROJECT NAME ]</v>
      </c>
      <c r="AO6" s="12"/>
      <c r="AP6" s="12"/>
      <c r="AQ6" s="12"/>
      <c r="AR6" s="12"/>
      <c r="AS6" s="3"/>
      <c r="AT6" s="12"/>
      <c r="AU6" s="24" t="s">
        <v>33</v>
      </c>
      <c r="AV6" s="25">
        <f>+X6</f>
        <v>10461</v>
      </c>
      <c r="AX6" s="19" t="s">
        <v>31</v>
      </c>
      <c r="AY6" s="23" t="str">
        <f>D6</f>
        <v>[ PROJECT NAME ]</v>
      </c>
      <c r="AZ6" s="12"/>
      <c r="BA6" s="12"/>
      <c r="BB6" s="12"/>
      <c r="BC6" s="12"/>
      <c r="BD6" s="3"/>
      <c r="BE6" s="12"/>
      <c r="BF6" s="24" t="s">
        <v>33</v>
      </c>
      <c r="BG6" s="25">
        <f>+X6</f>
        <v>10461</v>
      </c>
      <c r="BH6" s="16"/>
      <c r="BI6" s="19" t="s">
        <v>31</v>
      </c>
      <c r="BJ6" s="23" t="str">
        <f>D6</f>
        <v>[ PROJECT NAME ]</v>
      </c>
      <c r="BK6" s="12"/>
      <c r="BL6" s="12"/>
      <c r="BM6" s="12"/>
      <c r="BN6" s="12"/>
      <c r="BO6" s="3"/>
      <c r="BP6" s="12"/>
      <c r="BQ6" s="24" t="s">
        <v>33</v>
      </c>
      <c r="BR6" s="25">
        <f>X6</f>
        <v>10461</v>
      </c>
      <c r="BS6" s="16"/>
    </row>
    <row r="7" spans="1:71" ht="12" customHeight="1">
      <c r="A7" s="19" t="s">
        <v>34</v>
      </c>
      <c r="B7" s="12"/>
      <c r="C7" s="12"/>
      <c r="D7" s="689" t="s">
        <v>35</v>
      </c>
      <c r="E7" s="689"/>
      <c r="F7" s="689"/>
      <c r="G7" s="689"/>
      <c r="H7" s="689"/>
      <c r="I7" s="689"/>
      <c r="J7" s="689"/>
      <c r="K7" s="689"/>
      <c r="L7" s="689"/>
      <c r="M7" s="689"/>
      <c r="N7" s="12"/>
      <c r="O7" s="5" t="s">
        <v>36</v>
      </c>
      <c r="R7" s="90" t="s">
        <v>20</v>
      </c>
      <c r="S7" s="291">
        <f t="shared" ref="S7:S13" si="0">S6+T7</f>
        <v>43796</v>
      </c>
      <c r="T7" s="690">
        <v>90</v>
      </c>
      <c r="W7" s="673" t="s">
        <v>37</v>
      </c>
      <c r="X7" s="1096">
        <v>5000</v>
      </c>
      <c r="Y7" s="904"/>
      <c r="Z7" s="906" t="s">
        <v>38</v>
      </c>
      <c r="AA7" s="904"/>
      <c r="AB7" s="6"/>
      <c r="AC7" s="12"/>
      <c r="AD7" s="12"/>
      <c r="AE7" s="12"/>
      <c r="AF7" s="12"/>
      <c r="AG7" s="12"/>
      <c r="AH7" s="12"/>
      <c r="AI7" s="12"/>
      <c r="AJ7" s="12"/>
      <c r="AK7" s="12"/>
      <c r="AL7" s="12"/>
      <c r="AN7" s="12"/>
      <c r="AO7" s="12"/>
      <c r="AP7" s="12"/>
      <c r="AQ7" s="12"/>
      <c r="AR7" s="12"/>
      <c r="AS7" s="12"/>
      <c r="AT7" s="12"/>
      <c r="AU7" s="12"/>
      <c r="AV7" s="12"/>
      <c r="AX7" s="6"/>
      <c r="AY7" s="12"/>
      <c r="AZ7" s="12"/>
      <c r="BA7" s="12"/>
      <c r="BB7" s="12"/>
      <c r="BC7" s="12"/>
      <c r="BD7" s="12"/>
      <c r="BE7" s="12"/>
      <c r="BF7" s="12"/>
      <c r="BG7" s="12"/>
      <c r="BH7" s="16"/>
      <c r="BI7" s="6"/>
      <c r="BJ7" s="12"/>
      <c r="BK7" s="12"/>
      <c r="BL7" s="12"/>
      <c r="BM7" s="12"/>
      <c r="BN7" s="12"/>
      <c r="BO7" s="12"/>
      <c r="BP7" s="12"/>
      <c r="BQ7" s="12"/>
      <c r="BR7" s="12"/>
      <c r="BS7" s="16"/>
    </row>
    <row r="8" spans="1:71" ht="12" customHeight="1" thickBot="1">
      <c r="A8" s="17" t="s">
        <v>39</v>
      </c>
      <c r="B8" s="12"/>
      <c r="C8" s="12"/>
      <c r="D8" s="684" t="s">
        <v>40</v>
      </c>
      <c r="E8" s="684"/>
      <c r="F8" s="684"/>
      <c r="G8" s="684"/>
      <c r="H8" s="684"/>
      <c r="I8" s="684"/>
      <c r="J8" s="684"/>
      <c r="K8" s="684"/>
      <c r="L8" s="684"/>
      <c r="M8" s="684"/>
      <c r="N8" s="12"/>
      <c r="O8" s="5" t="s">
        <v>41</v>
      </c>
      <c r="R8" s="90" t="s">
        <v>20</v>
      </c>
      <c r="S8" s="291">
        <f t="shared" si="0"/>
        <v>44161</v>
      </c>
      <c r="T8" s="690">
        <v>365</v>
      </c>
      <c r="W8" s="674"/>
      <c r="X8" s="1115"/>
      <c r="Y8" s="907"/>
      <c r="Z8" s="908"/>
      <c r="AA8" s="907"/>
      <c r="AB8" s="6"/>
      <c r="AC8" s="12"/>
      <c r="AD8" s="12"/>
      <c r="AE8" s="12"/>
      <c r="AF8" s="12"/>
      <c r="AG8" s="12"/>
      <c r="AH8" s="12"/>
      <c r="AI8" s="12"/>
      <c r="AJ8" s="12"/>
      <c r="AK8" s="12"/>
      <c r="AL8" s="12"/>
      <c r="AN8" s="12"/>
      <c r="AO8" s="12"/>
      <c r="AP8" s="12"/>
      <c r="AQ8" s="12"/>
      <c r="AR8" s="12"/>
      <c r="AS8" s="12"/>
      <c r="AT8" s="12"/>
      <c r="AU8" s="12"/>
      <c r="AV8" s="12"/>
      <c r="AX8" s="6"/>
      <c r="AY8" s="12"/>
      <c r="AZ8" s="12"/>
      <c r="BA8" s="12"/>
      <c r="BB8" s="12"/>
      <c r="BC8" s="12"/>
      <c r="BD8" s="12"/>
      <c r="BE8" s="12"/>
      <c r="BF8" s="12"/>
      <c r="BG8" s="12"/>
      <c r="BH8" s="16"/>
      <c r="BI8" s="6"/>
      <c r="BJ8" s="12"/>
      <c r="BK8" s="12"/>
      <c r="BL8" s="12"/>
      <c r="BM8" s="12"/>
      <c r="BN8" s="12"/>
      <c r="BO8" s="12"/>
      <c r="BP8" s="12"/>
      <c r="BQ8" s="12"/>
      <c r="BR8" s="12"/>
      <c r="BS8" s="16"/>
    </row>
    <row r="9" spans="1:71" ht="12" customHeight="1" thickBot="1">
      <c r="A9" s="17" t="s">
        <v>42</v>
      </c>
      <c r="B9" s="12"/>
      <c r="C9" s="12"/>
      <c r="D9" s="684" t="s">
        <v>43</v>
      </c>
      <c r="E9" s="684"/>
      <c r="F9" s="684"/>
      <c r="G9" s="684"/>
      <c r="H9" s="684"/>
      <c r="I9" s="684"/>
      <c r="J9" s="684"/>
      <c r="K9" s="684"/>
      <c r="L9" s="684"/>
      <c r="M9" s="684"/>
      <c r="N9" s="12"/>
      <c r="O9" s="5" t="s">
        <v>44</v>
      </c>
      <c r="R9" s="90" t="s">
        <v>20</v>
      </c>
      <c r="S9" s="291">
        <f t="shared" si="0"/>
        <v>44281</v>
      </c>
      <c r="T9" s="690">
        <v>120</v>
      </c>
      <c r="W9" s="13"/>
      <c r="X9" s="1219" t="s">
        <v>45</v>
      </c>
      <c r="Y9" s="908"/>
      <c r="Z9" s="909" t="s">
        <v>46</v>
      </c>
      <c r="AA9" s="910"/>
      <c r="AB9" s="84" t="s">
        <v>47</v>
      </c>
      <c r="AC9" s="47"/>
      <c r="AD9" s="192"/>
      <c r="AE9" s="47"/>
      <c r="AF9" s="87" t="s">
        <v>48</v>
      </c>
      <c r="AG9" s="85"/>
      <c r="AH9" s="87" t="s">
        <v>49</v>
      </c>
      <c r="AI9" s="85"/>
      <c r="AJ9" s="87" t="s">
        <v>50</v>
      </c>
      <c r="AK9" s="87" t="s">
        <v>51</v>
      </c>
      <c r="AL9" s="1263"/>
      <c r="AM9" s="84" t="s">
        <v>47</v>
      </c>
      <c r="AN9" s="47"/>
      <c r="AO9" s="698"/>
      <c r="AP9" s="47"/>
      <c r="AQ9" s="87" t="s">
        <v>48</v>
      </c>
      <c r="AR9" s="85"/>
      <c r="AS9" s="87" t="s">
        <v>49</v>
      </c>
      <c r="AT9" s="85"/>
      <c r="AU9" s="87" t="s">
        <v>50</v>
      </c>
      <c r="AV9" s="87" t="s">
        <v>51</v>
      </c>
      <c r="AW9" s="48"/>
      <c r="AX9" s="84" t="s">
        <v>47</v>
      </c>
      <c r="AY9" s="47"/>
      <c r="AZ9" s="698"/>
      <c r="BA9" s="47"/>
      <c r="BB9" s="87" t="s">
        <v>48</v>
      </c>
      <c r="BC9" s="85"/>
      <c r="BD9" s="87" t="s">
        <v>49</v>
      </c>
      <c r="BE9" s="85"/>
      <c r="BF9" s="87" t="s">
        <v>50</v>
      </c>
      <c r="BG9" s="87" t="s">
        <v>51</v>
      </c>
      <c r="BH9" s="48"/>
      <c r="BI9" s="84" t="s">
        <v>47</v>
      </c>
      <c r="BJ9" s="47"/>
      <c r="BK9" s="698"/>
      <c r="BL9" s="47"/>
      <c r="BM9" s="87" t="s">
        <v>48</v>
      </c>
      <c r="BN9" s="85"/>
      <c r="BO9" s="87" t="s">
        <v>49</v>
      </c>
      <c r="BP9" s="85"/>
      <c r="BQ9" s="87" t="s">
        <v>50</v>
      </c>
      <c r="BR9" s="87" t="s">
        <v>51</v>
      </c>
      <c r="BS9" s="48"/>
    </row>
    <row r="10" spans="1:71" ht="12" customHeight="1">
      <c r="A10" s="17" t="s">
        <v>52</v>
      </c>
      <c r="B10" s="12"/>
      <c r="C10" s="15"/>
      <c r="D10" s="1327" t="s">
        <v>53</v>
      </c>
      <c r="E10" s="1327"/>
      <c r="F10" s="1327"/>
      <c r="G10" s="1327"/>
      <c r="H10" s="1327"/>
      <c r="I10" s="1327"/>
      <c r="J10" s="1327"/>
      <c r="K10" s="1327"/>
      <c r="L10" s="1327"/>
      <c r="M10" s="1327"/>
      <c r="N10" s="12"/>
      <c r="O10" s="5" t="s">
        <v>54</v>
      </c>
      <c r="R10" s="90" t="s">
        <v>20</v>
      </c>
      <c r="S10" s="291">
        <f t="shared" si="0"/>
        <v>44281</v>
      </c>
      <c r="T10" s="690">
        <v>0</v>
      </c>
      <c r="U10" s="13"/>
      <c r="W10" s="9" t="s">
        <v>55</v>
      </c>
      <c r="X10" s="692"/>
      <c r="Y10" s="546"/>
      <c r="Z10" s="219"/>
      <c r="AA10" s="546"/>
      <c r="AB10" s="6"/>
      <c r="AC10" s="12"/>
      <c r="AD10" s="12"/>
      <c r="AE10" s="39"/>
      <c r="AF10" s="50"/>
      <c r="AG10" s="50"/>
      <c r="AH10" s="50"/>
      <c r="AI10" s="50"/>
      <c r="AJ10" s="50"/>
      <c r="AK10" s="50"/>
      <c r="AL10" s="1264"/>
      <c r="AN10" s="12"/>
      <c r="AO10" s="12"/>
      <c r="AP10" s="12"/>
      <c r="AQ10" s="50"/>
      <c r="AR10" s="50"/>
      <c r="AS10" s="50"/>
      <c r="AT10" s="50"/>
      <c r="AU10" s="50"/>
      <c r="AV10" s="50"/>
      <c r="AW10" s="51"/>
      <c r="AX10" s="6"/>
      <c r="AY10" s="12"/>
      <c r="AZ10" s="12"/>
      <c r="BA10" s="12"/>
      <c r="BB10" s="50"/>
      <c r="BC10" s="50"/>
      <c r="BD10" s="50"/>
      <c r="BE10" s="50"/>
      <c r="BF10" s="50"/>
      <c r="BG10" s="50"/>
      <c r="BH10" s="51"/>
      <c r="BI10" s="6"/>
      <c r="BJ10" s="12"/>
      <c r="BK10" s="12"/>
      <c r="BL10" s="12"/>
      <c r="BM10" s="50"/>
      <c r="BN10" s="50"/>
      <c r="BO10" s="50"/>
      <c r="BP10" s="50"/>
      <c r="BQ10" s="50"/>
      <c r="BR10" s="50"/>
      <c r="BS10" s="51"/>
    </row>
    <row r="11" spans="1:71" ht="12" customHeight="1">
      <c r="A11" s="17" t="s">
        <v>56</v>
      </c>
      <c r="B11" s="12"/>
      <c r="C11" s="15"/>
      <c r="D11" s="1325" t="s">
        <v>57</v>
      </c>
      <c r="E11" s="1325"/>
      <c r="F11" s="1325"/>
      <c r="G11" s="1325"/>
      <c r="H11" s="1325"/>
      <c r="I11" s="1325"/>
      <c r="J11" s="1325"/>
      <c r="K11" s="1325"/>
      <c r="L11" s="1325"/>
      <c r="M11" s="1325"/>
      <c r="N11" s="12"/>
      <c r="O11" s="15" t="s">
        <v>58</v>
      </c>
      <c r="P11" s="15"/>
      <c r="Q11" s="13"/>
      <c r="R11" s="90" t="s">
        <v>20</v>
      </c>
      <c r="S11" s="291">
        <f t="shared" si="0"/>
        <v>44461</v>
      </c>
      <c r="T11" s="690">
        <v>180</v>
      </c>
      <c r="W11" s="9" t="s">
        <v>59</v>
      </c>
      <c r="X11" s="692"/>
      <c r="Y11" s="219"/>
      <c r="Z11" s="1125"/>
      <c r="AA11" s="1126"/>
      <c r="AB11" s="200"/>
      <c r="AC11" s="12"/>
      <c r="AD11" s="12"/>
      <c r="AE11" s="39"/>
      <c r="AF11" s="12"/>
      <c r="AG11" s="12"/>
      <c r="AH11" s="1026" t="str">
        <f>IF($D$10="COLLABORATIVE DESIGN-BUILD","PHASE 1","")</f>
        <v/>
      </c>
      <c r="AI11" s="24"/>
      <c r="AJ11" s="1026" t="str">
        <f>IF($D$10="COLLABORATIVE DESIGN-BUILD","PHASE 2","")</f>
        <v/>
      </c>
      <c r="AK11" s="12"/>
      <c r="AL11" s="12"/>
      <c r="AN11" s="12"/>
      <c r="AO11" s="12"/>
      <c r="AP11" s="12"/>
      <c r="AQ11" s="12"/>
      <c r="AR11" s="12"/>
      <c r="AS11" s="1026" t="str">
        <f>IF($D$10="COLLABORATIVE DESIGN-BUILD","PHASE 1","")</f>
        <v/>
      </c>
      <c r="AT11" s="24"/>
      <c r="AU11" s="1026" t="str">
        <f>IF($D$10="COLLABORATIVE DESIGN-BUILD","PHASE 2","")</f>
        <v/>
      </c>
      <c r="AV11" s="12"/>
      <c r="AX11" s="6"/>
      <c r="AY11" s="12"/>
      <c r="AZ11" s="12"/>
      <c r="BA11" s="12"/>
      <c r="BB11" s="12"/>
      <c r="BC11" s="12"/>
      <c r="BD11" s="1026" t="str">
        <f>IF($D$10="COLLABORATIVE DESIGN-BUILD","PHASE 1","")</f>
        <v/>
      </c>
      <c r="BE11" s="24"/>
      <c r="BF11" s="1026" t="str">
        <f>IF($D$10="COLLABORATIVE DESIGN-BUILD","PHASE 2","")</f>
        <v/>
      </c>
      <c r="BG11" s="12"/>
      <c r="BH11" s="16"/>
      <c r="BI11" s="6"/>
      <c r="BJ11" s="12"/>
      <c r="BK11" s="12"/>
      <c r="BL11" s="12"/>
      <c r="BM11" s="12"/>
      <c r="BN11" s="12"/>
      <c r="BO11" s="1026" t="str">
        <f>IF($D$10="COLLABORATIVE DESIGN-BUILD","PHASE 1","")</f>
        <v/>
      </c>
      <c r="BP11" s="24"/>
      <c r="BQ11" s="1026" t="str">
        <f>IF($D$10="COLLABORATIVE DESIGN-BUILD","PHASE 2","")</f>
        <v/>
      </c>
      <c r="BR11" s="12"/>
      <c r="BS11" s="16"/>
    </row>
    <row r="12" spans="1:71" ht="12" customHeight="1">
      <c r="A12" s="30"/>
      <c r="C12" s="15"/>
      <c r="D12" s="15"/>
      <c r="E12" s="15"/>
      <c r="F12" s="15"/>
      <c r="G12" s="15"/>
      <c r="H12" s="15"/>
      <c r="I12" s="15"/>
      <c r="J12" s="15"/>
      <c r="K12" s="15"/>
      <c r="L12" s="15"/>
      <c r="M12" s="15"/>
      <c r="N12" s="31"/>
      <c r="O12" s="15" t="s">
        <v>60</v>
      </c>
      <c r="P12" s="15"/>
      <c r="Q12" s="13"/>
      <c r="R12" s="90" t="s">
        <v>20</v>
      </c>
      <c r="S12" s="291">
        <f t="shared" si="0"/>
        <v>44641</v>
      </c>
      <c r="T12" s="690">
        <v>180</v>
      </c>
      <c r="V12" s="32"/>
      <c r="W12" s="9" t="s">
        <v>61</v>
      </c>
      <c r="X12" s="162" t="e">
        <f>+X10/X11</f>
        <v>#DIV/0!</v>
      </c>
      <c r="Y12" s="194"/>
      <c r="Z12" s="194"/>
      <c r="AA12" s="194"/>
      <c r="AB12" s="6"/>
      <c r="AC12" s="116" t="str">
        <f>IF($D$10="COLLABORATIVE DESIGN-BUILD","DB DESIGN SERVICES FEE","AE FEES")</f>
        <v>AE FEES</v>
      </c>
      <c r="AD12" s="116"/>
      <c r="AE12" s="66"/>
      <c r="AF12" s="57">
        <f>SUM(AH12:AK12)</f>
        <v>0</v>
      </c>
      <c r="AG12" s="57"/>
      <c r="AH12" s="67">
        <f>+IF($D$10="SMALL PROJECT",'FEE CALCS'!#REF!+'FEE CALCS'!#REF!,IF($D$10="DESIGN-BID-BUILD",'FEE CALCS'!$C$10+'FEE CALCS'!$D$10,IF($D$10="CM @ RISK",'FEE CALCS'!$C$12+'FEE CALCS'!$D$12,IF($D$10="COLLABORATIVE DESIGN-BUILD",'FEE CALCS'!$C$24,0))))</f>
        <v>0</v>
      </c>
      <c r="AI12" s="67"/>
      <c r="AJ12" s="67">
        <f>+IF($D$10="SMALL PROJECT",'FEE CALCS'!#REF!+'FEE CALCS'!#REF!,IF($D$10="DESIGN-BID-BUILD",'FEE CALCS'!E10+'FEE CALCS'!F10,IF($D$10="CM @ RISK",'FEE CALCS'!E12+'FEE CALCS'!F12,IF($D$10="COLLABORATIVE DESIGN-BUILD",'FEE CALCS'!$E$24,0))))</f>
        <v>0</v>
      </c>
      <c r="AK12" s="67">
        <f>+IF($D$10="SMALL PROJECT",'FEE CALCS'!#REF!+'FEE CALCS'!#REF!,IF($D$10="DESIGN-BID-BUILD",'FEE CALCS'!G10+'FEE CALCS'!H10,IF($D$10="CM @ RISK",'FEE CALCS'!G12+'FEE CALCS'!H12,0)))</f>
        <v>0</v>
      </c>
      <c r="AL12" s="12"/>
      <c r="AN12" s="116" t="str">
        <f>IF($D$10="COLLABORATIVE DESIGN-BUILD","DB DESIGN SERVICES FEE","AE FEES")</f>
        <v>AE FEES</v>
      </c>
      <c r="AO12" s="33"/>
      <c r="AP12" s="66"/>
      <c r="AQ12" s="57">
        <f>SUM(AS12:AV12)</f>
        <v>0</v>
      </c>
      <c r="AR12" s="57"/>
      <c r="AS12" s="57">
        <f>+IF($D$10="DESIGN-BID-BUILD",'FEE CALCS'!K10+'FEE CALCS'!L10,IF($D$10="CM @ RISK",'FEE CALCS'!K12+'FEE CALCS'!L12,IF($D$10="COLLABORATIVE DESIGN-BUILD",+'FEE CALCS'!K24,0)))</f>
        <v>0</v>
      </c>
      <c r="AT12" s="57"/>
      <c r="AU12" s="57">
        <f>+IF($D$10="DESIGN-BID-BUILD",'FEE CALCS'!M10+'FEE CALCS'!N10,IF($D$10="CM @ RISK",+'FEE CALCS'!M12+'FEE CALCS'!N12,IF($D$10="COLLABORATIVE DESIGN-BUILD",+'FEE CALCS'!M24,0)))</f>
        <v>0</v>
      </c>
      <c r="AV12" s="57">
        <f>+IF($D$10="DESIGN-BID-BUILD",'FEE CALCS'!O10+'FEE CALCS'!P10,IF($D$10="CM @ RISK",+'FEE CALCS'!O12+'FEE CALCS'!P12,0))</f>
        <v>0</v>
      </c>
      <c r="AX12" s="6"/>
      <c r="AY12" s="116" t="str">
        <f>IF($D$10="COLLABORATIVE DESIGN-BUILD","DB DESIGN SERVICES FEE","AE FEES")</f>
        <v>AE FEES</v>
      </c>
      <c r="AZ12" s="33"/>
      <c r="BA12" s="66"/>
      <c r="BB12" s="57">
        <f>SUM(BD12:BG12)</f>
        <v>0</v>
      </c>
      <c r="BC12" s="57"/>
      <c r="BD12" s="57">
        <f>+IF($D$10="DESIGN-BID-BUILD",'FEE CALCS'!S10+'FEE CALCS'!T10,IF($D$10="CM @ RISK",'FEE CALCS'!S12+'FEE CALCS'!T12,IF($D$10="COLLABORATIVE DESIGN-BUILD",+'FEE CALCS'!S24,0)))</f>
        <v>0</v>
      </c>
      <c r="BE12" s="57"/>
      <c r="BF12" s="57">
        <f>+IF($D$10="DESIGN-BID-BUILD",'FEE CALCS'!U10+'FEE CALCS'!V10,IF($D$10="CM @ RISK",+'FEE CALCS'!U12+'FEE CALCS'!V12,IF($D$10="COLLABORATIVE DESIGN-BUILD",+'FEE CALCS'!U24,0)))</f>
        <v>0</v>
      </c>
      <c r="BG12" s="57">
        <f>+IF($D$10="DESIGN-BID-BUILD",'FEE CALCS'!W10+'FEE CALCS'!X10,IF($D$10="CM @ RISK",+'FEE CALCS'!W12+'FEE CALCS'!X12,0))</f>
        <v>0</v>
      </c>
      <c r="BH12" s="16"/>
      <c r="BI12" s="6"/>
      <c r="BJ12" s="116" t="str">
        <f>IF($D$10="COLLABORATIVE DESIGN-BUILD","DB DESIGN SERVICES FEE","AE FEES")</f>
        <v>AE FEES</v>
      </c>
      <c r="BK12" s="33"/>
      <c r="BL12" s="66"/>
      <c r="BM12" s="57">
        <f>SUM(BO12:BR12)</f>
        <v>0</v>
      </c>
      <c r="BN12" s="57"/>
      <c r="BO12" s="57">
        <f>+IF($D$10="DESIGN-BID-BUILD",'FEE CALCS'!AA10+'FEE CALCS'!AB10,IF($D$10="CM @ RISK",'FEE CALCS'!AA12+'FEE CALCS'!AB12,IF($D$10="COLLABORATIVE DESIGN-BUILD",+'FEE CALCS'!AA24,0)))</f>
        <v>0</v>
      </c>
      <c r="BP12" s="57"/>
      <c r="BQ12" s="57">
        <f>+IF($D$10="DESIGN-BID-BUILD",'FEE CALCS'!AC10+'FEE CALCS'!AD10,IF($D$10="CM @ RISK",+'FEE CALCS'!AC12+'FEE CALCS'!AD12,IF($D$10="COLLABORATIVE DESIGN-BUILD",+'FEE CALCS'!AC24,0)))</f>
        <v>0</v>
      </c>
      <c r="BR12" s="57">
        <f>+IF($D$10="DESIGN-BID-BUILD",'FEE CALCS'!AE10+'FEE CALCS'!AF10,IF($D$10="CM @ RISK",+'FEE CALCS'!AE12+'FEE CALCS'!AF12,0))</f>
        <v>0</v>
      </c>
      <c r="BS12" s="16"/>
    </row>
    <row r="13" spans="1:71" ht="12" customHeight="1">
      <c r="A13" s="30"/>
      <c r="B13" s="15"/>
      <c r="C13" s="15"/>
      <c r="D13" s="15"/>
      <c r="E13" s="15"/>
      <c r="F13" s="15"/>
      <c r="G13" s="15"/>
      <c r="H13" s="15"/>
      <c r="I13" s="15"/>
      <c r="J13" s="15"/>
      <c r="K13" s="15"/>
      <c r="L13" s="15"/>
      <c r="M13" s="12"/>
      <c r="N13" s="35"/>
      <c r="O13" s="15" t="s">
        <v>62</v>
      </c>
      <c r="P13" s="15"/>
      <c r="Q13" s="13"/>
      <c r="R13" s="90" t="s">
        <v>20</v>
      </c>
      <c r="S13" s="291">
        <f t="shared" si="0"/>
        <v>45181</v>
      </c>
      <c r="T13" s="691">
        <v>540</v>
      </c>
      <c r="U13" s="1230"/>
      <c r="V13" s="38"/>
      <c r="W13" s="13"/>
      <c r="X13" s="61"/>
      <c r="Y13" s="194"/>
      <c r="Z13" s="194"/>
      <c r="AA13" s="194"/>
      <c r="AB13" s="6"/>
      <c r="AC13" s="209" t="str">
        <f>IF($D$10="COLLABORATIVE DESIGN-BUILD","DB PRE-CONSTRUCTION SERVICES FEE","CM SERVICE FEES")</f>
        <v>CM SERVICE FEES</v>
      </c>
      <c r="AD13" s="209"/>
      <c r="AE13" s="181"/>
      <c r="AF13" s="182">
        <f>SUM(AH13:AK13)</f>
        <v>0</v>
      </c>
      <c r="AG13" s="292"/>
      <c r="AH13" s="1102">
        <f>ROUND(+IF($D$10="DESIGN-BID-BUILD",0,IF($D$10="CM @ RISK",'FEE CALCS'!C14+'FEE CALCS'!D14,IF($D$10="DESIGN-BUILD",+'FEE CALCS'!C18+'FEE CALCS'!D18,IF($D$10="COLLABORATIVE DESIGN-BUILD",+'FEE CALCS'!C25,0)))),-3)</f>
        <v>0</v>
      </c>
      <c r="AI13" s="1102"/>
      <c r="AJ13" s="1102">
        <f>ROUND(+IF($D$10="DESIGN-BID-BUILD",0,IF($D$10="CM @ RISK",'FEE CALCS'!E14+'FEE CALCS'!F14,IF($D$10="DESIGN-BUILD",+'FEE CALCS'!E18+'FEE CALCS'!F18,IF($D$10="COLLABORATIVE DESIGN-BUILD",+'FEE CALCS'!E25,0)))),-3)</f>
        <v>0</v>
      </c>
      <c r="AK13" s="1102">
        <f>ROUND(+IF($D$10="DESIGN-BID-BUILD",0,IF($D$10="SMALL PROJECT",0,IF($D$10="CM @ RISK",'FEE CALCS'!G15,IF($D$10="DESIGN-BUILD",+'FEE CALCS'!G18+'FEE CALCS'!H18,IF($D$10="COLLABORATIVE DESIGN-BUILD",0,0))))),-3)</f>
        <v>0</v>
      </c>
      <c r="AL13" s="12"/>
      <c r="AN13" s="209" t="str">
        <f>IF($D$10="COLLABORATIVE DESIGN-BUILD","DB PRE-CONSTRUCTION SERVICES FEE","CM SERVICE FEES")</f>
        <v>CM SERVICE FEES</v>
      </c>
      <c r="AO13" s="115"/>
      <c r="AP13" s="181"/>
      <c r="AQ13" s="182">
        <f>SUM(AS13:AV13)</f>
        <v>0</v>
      </c>
      <c r="AR13" s="182"/>
      <c r="AS13" s="1102">
        <f>ROUND(+IF($D$10="DESIGN-BID-BUILD",0,IF($D$10="CM @ RISK",'FEE CALCS'!K14+'FEE CALCS'!L14,IF($D$10="DESIGN-BUILD",+'FEE CALCS'!K18+'FEE CALCS'!L18,IF($D$10="COLLABORATIVE DESIGN-BUILD",+'FEE CALCS'!K25,0)))),-3)</f>
        <v>0</v>
      </c>
      <c r="AT13" s="180"/>
      <c r="AU13" s="180">
        <f>ROUND(+IF($D$10="DESIGN-BID-BUILD",0,IF($D$10="CM @ RISK",'FEE CALCS'!M14+'FEE CALCS'!N14,IF($D$10="DESIGN-BUILD",+'FEE CALCS'!M18+'FEE CALCS'!N18,IF($D$10="COLLABORATIVE DESIGN-BUILD",+'FEE CALCS'!M24,0)))),-3)</f>
        <v>0</v>
      </c>
      <c r="AV13" s="180">
        <f>ROUND(+IF($D$10="DESIGN-BID-BUILD",0,IF($D$10="CM @ RISK",'FEE CALCS'!O15,IF($D$10="DESIGN-BUILD",+'FEE CALCS'!O18+'FEE CALCS'!P18,IF($D$10="COLLABORATIVE DESIGN-BUILD",0,0)))),-3)</f>
        <v>0</v>
      </c>
      <c r="AX13" s="6"/>
      <c r="AY13" s="209" t="str">
        <f>IF($D$10="COLLABORATIVE DESIGN-BUILD","DB PRE-CONSTRUCTION SERVICES FEE","CM SERVICE FEES")</f>
        <v>CM SERVICE FEES</v>
      </c>
      <c r="AZ13" s="115"/>
      <c r="BA13" s="181"/>
      <c r="BB13" s="182">
        <f>SUM(BD13:BG13)</f>
        <v>0</v>
      </c>
      <c r="BC13" s="182"/>
      <c r="BD13" s="180">
        <f>ROUND(+IF($D$10="DESIGN-BID-BUILD",0,IF($D$10="CM @ RISK",'FEE CALCS'!S14+'FEE CALCS'!T14,IF($D$10="DESIGN-BUILD",+'FEE CALCS'!S18+'FEE CALCS'!T18,IF($D$10="COLLABORATIVE DESIGN-BUILD",+'FEE CALCS'!S25,0)))),-3)</f>
        <v>0</v>
      </c>
      <c r="BE13" s="180"/>
      <c r="BF13" s="180">
        <f>ROUND(+IF($D$10="DESIGN-BID-BUILD",0,IF($D$10="CM @ RISK",'FEE CALCS'!U14+'FEE CALCS'!V14,IF($D$10="DESIGN-BUILD",+'FEE CALCS'!U18+'FEE CALCS'!V18,IF($D$10="COLLABORATIVE DESIGN-BUILD",+'FEE CALCS'!U25,0)))),-3)</f>
        <v>0</v>
      </c>
      <c r="BG13" s="180">
        <f>ROUND(+IF($D$10="DESIGN-BID-BUILD",0,IF($D$10="CM @ RISK",'FEE CALCS'!W15,IF($D$10="DESIGN-BUILD",+'FEE CALCS'!W18+'FEE CALCS'!X18,IF($D$10="COLLABORATIVE DESIGN-BUILD",0,0)))),-3)</f>
        <v>0</v>
      </c>
      <c r="BH13" s="16"/>
      <c r="BI13" s="6"/>
      <c r="BJ13" s="209" t="str">
        <f>IF($D$10="COLLABORATIVE DESIGN-BUILD","DB PRE-CONSTRUCTION SERVICES FEE","CM SERVICE FEES")</f>
        <v>CM SERVICE FEES</v>
      </c>
      <c r="BK13" s="115"/>
      <c r="BL13" s="181"/>
      <c r="BM13" s="182">
        <f>SUM(BO13:BR13)</f>
        <v>0</v>
      </c>
      <c r="BN13" s="182"/>
      <c r="BO13" s="180">
        <f>ROUND(+IF($D$10="DESIGN-BID-BUILD",0,IF($D$10="CM @ RISK",'FEE CALCS'!AA14+'FEE CALCS'!AB14,IF($D$10="DESIGN-BUILD",+'FEE CALCS'!AA18+'FEE CALCS'!AB18,IF($D$10="COLLABORATIVE DESIGN-BUILD",+'FEE CALCS'!AA25,0)))),-3)</f>
        <v>0</v>
      </c>
      <c r="BP13" s="180"/>
      <c r="BQ13" s="180">
        <f>ROUND(+IF($D$10="DESIGN-BID-BUILD",0,IF($D$10="CM @ RISK",'FEE CALCS'!AC14+'FEE CALCS'!AD14,IF($D$10="DESIGN-BUILD",+'FEE CALCS'!AC18+'FEE CALCS'!AD18,IF($D$10="COLLABORATIVE DESIGN-BUILD",+'FEE CALCS'!AC25,0)))),-3)</f>
        <v>0</v>
      </c>
      <c r="BR13" s="180">
        <f>ROUND(+IF($D$10="DESIGN-BID-BUILD",0,IF($D$10="CM @ RISK",'FEE CALCS'!AE15,IF($D$10="DESIGN-BUILD",+'FEE CALCS'!AE18+'FEE CALCS'!AF18,IF($D$10="COLLABORATIVE DESIGN-BUILD",0,0)))),-3)</f>
        <v>0</v>
      </c>
      <c r="BS13" s="16"/>
    </row>
    <row r="14" spans="1:71" ht="12" customHeight="1">
      <c r="A14" s="34"/>
      <c r="B14" s="15"/>
      <c r="C14" s="15"/>
      <c r="D14" s="15"/>
      <c r="E14" s="15"/>
      <c r="F14" s="15"/>
      <c r="G14" s="15"/>
      <c r="H14" s="15"/>
      <c r="I14" s="15"/>
      <c r="J14" s="15"/>
      <c r="K14" s="15"/>
      <c r="L14" s="15"/>
      <c r="M14" s="12"/>
      <c r="N14" s="35"/>
      <c r="O14" s="133" t="s">
        <v>63</v>
      </c>
      <c r="P14" s="15"/>
      <c r="Q14" s="15"/>
      <c r="R14" s="28"/>
      <c r="S14" s="13"/>
      <c r="T14" s="305">
        <f>SUM(T5:T13)</f>
        <v>1535</v>
      </c>
      <c r="U14" s="700"/>
      <c r="V14" s="38"/>
      <c r="W14" s="13"/>
      <c r="X14" s="61"/>
      <c r="Y14" s="194"/>
      <c r="Z14" s="194"/>
      <c r="AA14" s="475"/>
      <c r="AB14" s="6"/>
      <c r="AC14" s="210" t="str">
        <f>IF($D$10="COLLABORATIVE DESIGN-BUILD","TOTAL DESIGN-BUILDER SERVICES","TOTAL AE / CM SERVICES")</f>
        <v>TOTAL AE / CM SERVICES</v>
      </c>
      <c r="AD14" s="116"/>
      <c r="AE14" s="66"/>
      <c r="AF14" s="88">
        <f>+AF12+AF13</f>
        <v>0</v>
      </c>
      <c r="AG14" s="55"/>
      <c r="AH14" s="88">
        <f>+AH12+AH13</f>
        <v>0</v>
      </c>
      <c r="AI14" s="55"/>
      <c r="AJ14" s="88">
        <f>+AJ12+AJ13</f>
        <v>0</v>
      </c>
      <c r="AK14" s="88">
        <f>+AK12+AK13</f>
        <v>0</v>
      </c>
      <c r="AL14" s="12"/>
      <c r="AN14" s="210" t="str">
        <f>IF($D$10="COLLABORATIVE DESIGN-BUILD","TOTAL DESIGN-BUILDER SERVICES","TOTAL AE / CM SERVICES")</f>
        <v>TOTAL AE / CM SERVICES</v>
      </c>
      <c r="AO14" s="12"/>
      <c r="AP14" s="39"/>
      <c r="AQ14" s="13">
        <f>+AQ12+AQ13</f>
        <v>0</v>
      </c>
      <c r="AR14" s="13"/>
      <c r="AS14" s="13">
        <f>+AS12+AS13</f>
        <v>0</v>
      </c>
      <c r="AT14" s="13"/>
      <c r="AU14" s="13">
        <f>+AU12+AU13</f>
        <v>0</v>
      </c>
      <c r="AV14" s="13">
        <f>+AV12+AV13</f>
        <v>0</v>
      </c>
      <c r="AW14" s="63"/>
      <c r="AX14" s="6"/>
      <c r="AY14" s="210" t="str">
        <f>IF($D$10="COLLABORATIVE DESIGN-BUILD","TOTAL DESIGN-BUILDER SERVICES","TOTAL AE / CM SERVICES")</f>
        <v>TOTAL AE / CM SERVICES</v>
      </c>
      <c r="AZ14" s="12"/>
      <c r="BA14" s="39"/>
      <c r="BB14" s="13">
        <f>+BB12+BB13</f>
        <v>0</v>
      </c>
      <c r="BC14" s="13"/>
      <c r="BD14" s="13">
        <f>+BD12+BD13</f>
        <v>0</v>
      </c>
      <c r="BE14" s="13"/>
      <c r="BF14" s="13">
        <f>+BF12+BF13</f>
        <v>0</v>
      </c>
      <c r="BG14" s="13">
        <f>+BG12+BG13</f>
        <v>0</v>
      </c>
      <c r="BH14" s="63"/>
      <c r="BI14" s="6"/>
      <c r="BJ14" s="210" t="str">
        <f>IF($D$10="COLLABORATIVE DESIGN-BUILD","TOTAL DESIGN-BUILDER SERVICES","TOTAL AE / CM SERVICES")</f>
        <v>TOTAL AE / CM SERVICES</v>
      </c>
      <c r="BK14" s="12"/>
      <c r="BL14" s="39"/>
      <c r="BM14" s="13">
        <f>+BM12+BM13</f>
        <v>0</v>
      </c>
      <c r="BN14" s="13"/>
      <c r="BO14" s="13">
        <f>+BO12+BO13</f>
        <v>0</v>
      </c>
      <c r="BP14" s="13"/>
      <c r="BQ14" s="13">
        <f>+BQ12+BQ13</f>
        <v>0</v>
      </c>
      <c r="BR14" s="13">
        <f>+BR12+BR13</f>
        <v>0</v>
      </c>
      <c r="BS14" s="63"/>
    </row>
    <row r="15" spans="1:71" ht="12" customHeight="1" thickBot="1">
      <c r="A15" s="6"/>
      <c r="O15" s="15"/>
      <c r="P15" s="15"/>
      <c r="Q15" s="13"/>
      <c r="R15" s="90"/>
      <c r="S15" s="1215"/>
      <c r="T15" s="690"/>
      <c r="U15" s="13"/>
      <c r="X15" s="171"/>
      <c r="Y15" s="475"/>
      <c r="Z15" s="541"/>
      <c r="AA15" s="476"/>
      <c r="AB15" s="6" t="s">
        <v>16</v>
      </c>
      <c r="AC15" s="12"/>
      <c r="AD15" s="12"/>
      <c r="AE15" s="12"/>
      <c r="AF15" s="12"/>
      <c r="AG15" s="12"/>
      <c r="AH15" s="12"/>
      <c r="AI15" s="12"/>
      <c r="AJ15" s="12"/>
      <c r="AK15" s="12"/>
      <c r="AL15" s="12"/>
      <c r="AN15" s="116"/>
      <c r="AO15" s="33"/>
      <c r="AP15" s="66"/>
      <c r="AQ15" s="13"/>
      <c r="AR15" s="13"/>
      <c r="AS15" s="13"/>
      <c r="AT15" s="13"/>
      <c r="AU15" s="13"/>
      <c r="AV15" s="13"/>
      <c r="AW15" s="63"/>
      <c r="AX15" s="6"/>
      <c r="AY15" s="116"/>
      <c r="AZ15" s="33"/>
      <c r="BA15" s="66"/>
      <c r="BB15" s="13"/>
      <c r="BC15" s="13"/>
      <c r="BD15" s="13"/>
      <c r="BE15" s="13"/>
      <c r="BF15" s="13"/>
      <c r="BG15" s="13"/>
      <c r="BH15" s="63"/>
      <c r="BI15" s="6"/>
      <c r="BJ15" s="116"/>
      <c r="BK15" s="33"/>
      <c r="BL15" s="66"/>
      <c r="BM15" s="13"/>
      <c r="BN15" s="13"/>
      <c r="BO15" s="13"/>
      <c r="BP15" s="13"/>
      <c r="BQ15" s="13"/>
      <c r="BR15" s="13"/>
      <c r="BS15" s="63"/>
    </row>
    <row r="16" spans="1:71" ht="12.95" customHeight="1" thickBot="1">
      <c r="A16" s="6"/>
      <c r="V16" s="38"/>
      <c r="W16" s="15"/>
      <c r="X16" s="61"/>
      <c r="Y16" s="475"/>
      <c r="Z16" s="541"/>
      <c r="AA16" s="194"/>
      <c r="AB16" s="84" t="s">
        <v>64</v>
      </c>
      <c r="AC16" s="47"/>
      <c r="AD16" s="47"/>
      <c r="AE16" s="80"/>
      <c r="AF16" s="81" t="s">
        <v>48</v>
      </c>
      <c r="AG16" s="82"/>
      <c r="AH16" s="81" t="s">
        <v>49</v>
      </c>
      <c r="AI16" s="82"/>
      <c r="AJ16" s="81" t="s">
        <v>50</v>
      </c>
      <c r="AK16" s="81" t="s">
        <v>51</v>
      </c>
      <c r="AL16" s="82"/>
      <c r="AM16" s="84" t="s">
        <v>64</v>
      </c>
      <c r="AN16" s="47"/>
      <c r="AO16" s="47"/>
      <c r="AP16" s="47"/>
      <c r="AQ16" s="81" t="s">
        <v>48</v>
      </c>
      <c r="AR16" s="82"/>
      <c r="AS16" s="81" t="s">
        <v>49</v>
      </c>
      <c r="AT16" s="82"/>
      <c r="AU16" s="81" t="s">
        <v>50</v>
      </c>
      <c r="AV16" s="81" t="s">
        <v>51</v>
      </c>
      <c r="AW16" s="83"/>
      <c r="AX16" s="84" t="s">
        <v>64</v>
      </c>
      <c r="AY16" s="47"/>
      <c r="AZ16" s="47"/>
      <c r="BA16" s="47"/>
      <c r="BB16" s="81" t="s">
        <v>48</v>
      </c>
      <c r="BC16" s="82"/>
      <c r="BD16" s="81" t="s">
        <v>49</v>
      </c>
      <c r="BE16" s="82"/>
      <c r="BF16" s="81" t="s">
        <v>50</v>
      </c>
      <c r="BG16" s="81" t="s">
        <v>51</v>
      </c>
      <c r="BH16" s="83"/>
      <c r="BI16" s="84" t="s">
        <v>64</v>
      </c>
      <c r="BJ16" s="47"/>
      <c r="BK16" s="47"/>
      <c r="BL16" s="47"/>
      <c r="BM16" s="81" t="s">
        <v>48</v>
      </c>
      <c r="BN16" s="82"/>
      <c r="BO16" s="81" t="s">
        <v>49</v>
      </c>
      <c r="BP16" s="82"/>
      <c r="BQ16" s="81" t="s">
        <v>50</v>
      </c>
      <c r="BR16" s="81" t="s">
        <v>51</v>
      </c>
      <c r="BS16" s="83"/>
    </row>
    <row r="17" spans="1:71" ht="12.95" customHeight="1">
      <c r="A17" s="6"/>
      <c r="B17" s="56" t="s">
        <v>65</v>
      </c>
      <c r="C17" s="15"/>
      <c r="D17" s="15"/>
      <c r="E17" s="15"/>
      <c r="F17" s="15"/>
      <c r="G17" s="15"/>
      <c r="H17" s="15"/>
      <c r="I17" s="15"/>
      <c r="J17" s="15"/>
      <c r="K17" s="15"/>
      <c r="L17" s="15"/>
      <c r="M17" s="12"/>
      <c r="N17" s="35"/>
      <c r="O17" s="1197" t="s">
        <v>66</v>
      </c>
      <c r="P17" s="31"/>
      <c r="Q17" s="1197" t="s">
        <v>67</v>
      </c>
      <c r="R17" s="12"/>
      <c r="S17" s="1198" t="s">
        <v>68</v>
      </c>
      <c r="T17" s="32"/>
      <c r="U17" s="1198" t="s">
        <v>69</v>
      </c>
      <c r="V17" s="38"/>
      <c r="W17" s="1198" t="s">
        <v>70</v>
      </c>
      <c r="X17" s="61"/>
      <c r="Y17" s="475"/>
      <c r="Z17" s="541"/>
      <c r="AA17" s="194"/>
      <c r="AB17" s="19"/>
      <c r="AC17" s="33"/>
      <c r="AD17" s="33"/>
      <c r="AE17" s="66"/>
      <c r="AF17" s="57"/>
      <c r="AG17" s="33"/>
      <c r="AH17" s="33"/>
      <c r="AI17" s="33"/>
      <c r="AJ17" s="33"/>
      <c r="AK17" s="201"/>
      <c r="AL17" s="12"/>
      <c r="AN17" s="33"/>
      <c r="AO17" s="33"/>
      <c r="AP17" s="66"/>
      <c r="AQ17" s="57"/>
      <c r="AR17" s="33"/>
      <c r="AS17" s="33"/>
      <c r="AT17" s="33"/>
      <c r="AU17" s="33"/>
      <c r="AV17" s="33"/>
      <c r="AW17" s="63"/>
      <c r="AX17" s="6"/>
      <c r="AY17" s="33"/>
      <c r="AZ17" s="33"/>
      <c r="BA17" s="66"/>
      <c r="BB17" s="57"/>
      <c r="BC17" s="33"/>
      <c r="BD17" s="33"/>
      <c r="BE17" s="33"/>
      <c r="BF17" s="33"/>
      <c r="BG17" s="33"/>
      <c r="BH17" s="63"/>
      <c r="BI17" s="6"/>
      <c r="BJ17" s="33"/>
      <c r="BK17" s="33"/>
      <c r="BL17" s="66"/>
      <c r="BM17" s="57"/>
      <c r="BN17" s="33"/>
      <c r="BO17" s="33"/>
      <c r="BP17" s="33"/>
      <c r="BQ17" s="33"/>
      <c r="BR17" s="33"/>
      <c r="BS17" s="63"/>
    </row>
    <row r="18" spans="1:71" ht="12.95" customHeight="1">
      <c r="A18" s="34"/>
      <c r="B18" s="45" t="s">
        <v>71</v>
      </c>
      <c r="C18" s="15"/>
      <c r="D18" s="15"/>
      <c r="E18" s="15"/>
      <c r="F18" s="15"/>
      <c r="G18" s="15"/>
      <c r="H18" s="15"/>
      <c r="I18" s="15"/>
      <c r="J18" s="15"/>
      <c r="K18" s="15"/>
      <c r="L18" s="15"/>
      <c r="M18" s="12"/>
      <c r="N18" s="35" t="s">
        <v>72</v>
      </c>
      <c r="O18" s="295"/>
      <c r="P18" s="35"/>
      <c r="Q18" s="295"/>
      <c r="R18" s="35"/>
      <c r="S18" s="295"/>
      <c r="T18" s="35"/>
      <c r="U18" s="295"/>
      <c r="V18" s="35" t="s">
        <v>72</v>
      </c>
      <c r="W18" s="1237">
        <f>O18+Q18+S18+U18</f>
        <v>0</v>
      </c>
      <c r="X18" s="171"/>
      <c r="Y18" s="475"/>
      <c r="Z18" s="541"/>
      <c r="AA18" s="194"/>
      <c r="AB18" s="19"/>
      <c r="AC18" s="29" t="s">
        <v>73</v>
      </c>
      <c r="AD18" s="12"/>
      <c r="AE18" s="12"/>
      <c r="AF18" s="12"/>
      <c r="AG18" s="12"/>
      <c r="AH18" s="12"/>
      <c r="AI18" s="86"/>
      <c r="AJ18" s="12"/>
      <c r="AK18" s="12"/>
      <c r="AL18" s="12"/>
      <c r="AM18" s="19"/>
      <c r="AN18" s="29" t="s">
        <v>73</v>
      </c>
      <c r="AO18" s="12"/>
      <c r="AP18" s="12"/>
      <c r="AQ18" s="12"/>
      <c r="AR18" s="12"/>
      <c r="AS18" s="33"/>
      <c r="AT18" s="57"/>
      <c r="AU18" s="33"/>
      <c r="AV18" s="12"/>
      <c r="AW18" s="63"/>
      <c r="AX18" s="19"/>
      <c r="AY18" s="29" t="s">
        <v>73</v>
      </c>
      <c r="AZ18" s="12"/>
      <c r="BA18" s="12"/>
      <c r="BB18" s="12"/>
      <c r="BC18" s="12"/>
      <c r="BD18" s="33"/>
      <c r="BE18" s="57"/>
      <c r="BF18" s="33"/>
      <c r="BG18" s="12"/>
      <c r="BH18" s="63"/>
      <c r="BI18" s="19"/>
      <c r="BJ18" s="29" t="s">
        <v>73</v>
      </c>
      <c r="BK18" s="12"/>
      <c r="BL18" s="12"/>
      <c r="BM18" s="12"/>
      <c r="BN18" s="12"/>
      <c r="BO18" s="33"/>
      <c r="BP18" s="57"/>
      <c r="BQ18" s="33"/>
      <c r="BR18" s="12"/>
      <c r="BS18" s="63"/>
    </row>
    <row r="19" spans="1:71" ht="12.95" customHeight="1">
      <c r="A19" s="6"/>
      <c r="B19" s="45" t="s">
        <v>74</v>
      </c>
      <c r="N19" s="35" t="s">
        <v>72</v>
      </c>
      <c r="O19" s="295"/>
      <c r="P19" s="35"/>
      <c r="Q19" s="295"/>
      <c r="R19" s="35"/>
      <c r="S19" s="295"/>
      <c r="T19" s="35"/>
      <c r="U19" s="295"/>
      <c r="V19" s="35" t="s">
        <v>72</v>
      </c>
      <c r="W19" s="1238">
        <f t="shared" ref="W19:W24" si="1">O19+Q19+S19+U19</f>
        <v>0</v>
      </c>
      <c r="X19" s="61"/>
      <c r="Y19" s="475"/>
      <c r="Z19" s="541"/>
      <c r="AA19" s="476"/>
      <c r="AB19" s="19"/>
      <c r="AC19" s="1321" t="s">
        <v>75</v>
      </c>
      <c r="AD19" s="1321"/>
      <c r="AE19" s="1321"/>
      <c r="AF19" s="13">
        <f t="shared" ref="AF19:AF23" si="2">SUM(AH19:AK19)</f>
        <v>0</v>
      </c>
      <c r="AG19" s="13"/>
      <c r="AH19" s="13">
        <f>ROUND(+IF(AC19="SELECT CONSULTANT",0,($O$36+$S$36)*VLOOKUP(AC19,Specialty_Consultant_Percentage,3))*0.4,-3)</f>
        <v>0</v>
      </c>
      <c r="AI19" s="13"/>
      <c r="AJ19" s="13">
        <f>ROUND(+IF(AC19="SELECT CONSULTANT",0,($O$36+$S$36)*VLOOKUP(AC19,Specialty_Consultant_Percentage,3))*0.37,-3)</f>
        <v>0</v>
      </c>
      <c r="AK19" s="13">
        <f>ROUND(+IF(AC19="SELECT CONSULTANT",0,($O$36+$S$36)*VLOOKUP(AC19,Specialty_Consultant_Percentage,3))*0.23,-3)</f>
        <v>0</v>
      </c>
      <c r="AL19" s="12"/>
      <c r="AM19" s="19"/>
      <c r="AN19" s="1321" t="s">
        <v>75</v>
      </c>
      <c r="AO19" s="1321"/>
      <c r="AP19" s="1321"/>
      <c r="AQ19" s="13">
        <f t="shared" ref="AQ19:AQ23" si="3">SUM(AS19:AV19)</f>
        <v>0</v>
      </c>
      <c r="AR19" s="13"/>
      <c r="AS19" s="13">
        <f>ROUND(+IF(AN19="SELECT CONSULTANT",0,($Q$36+$U$36)*VLOOKUP(AN19,Specialty_Consultant_Percentage,3))*0.4,-3)</f>
        <v>0</v>
      </c>
      <c r="AT19" s="13"/>
      <c r="AU19" s="13">
        <f>ROUND(+IF(AN19="SELECT CONSULTANT",0,($Q$36+$U$36)*VLOOKUP(AN19,Specialty_Consultant_Percentage,3))*0.37,-3)</f>
        <v>0</v>
      </c>
      <c r="AV19" s="13">
        <f>ROUND(+IF(AN19="SELECT CONSULTANT",0,($Q$36+$U$36)*VLOOKUP(AN19,Specialty_Consultant_Percentage,3))*0.23,-3)</f>
        <v>0</v>
      </c>
      <c r="AW19" s="63"/>
      <c r="AX19" s="19"/>
      <c r="AY19" s="1321" t="s">
        <v>75</v>
      </c>
      <c r="AZ19" s="1321"/>
      <c r="BA19" s="1321"/>
      <c r="BB19" s="13">
        <f t="shared" ref="BB19:BB23" si="4">SUM(BD19:BG19)</f>
        <v>0</v>
      </c>
      <c r="BC19" s="13"/>
      <c r="BD19" s="13">
        <f>ROUND(+IF(AY19="SELECT CONSULTANT",0,($Q$36+$U$36)*VLOOKUP(AY19,Specialty_Consultant_Percentage,3))*0.4,-3)</f>
        <v>0</v>
      </c>
      <c r="BE19" s="13"/>
      <c r="BF19" s="13">
        <f>ROUND(+IF(AY19="SELECT CONSULTANT",0,($Q$36+$U$36)*VLOOKUP(AY19,Specialty_Consultant_Percentage,3))*0.37,-3)</f>
        <v>0</v>
      </c>
      <c r="BG19" s="13">
        <f>ROUND(+IF(AY19="SELECT CONSULTANT",0,($Q$36+$U$36)*VLOOKUP(AY19,Specialty_Consultant_Percentage,3))*0.23,-3)</f>
        <v>0</v>
      </c>
      <c r="BH19" s="63"/>
      <c r="BI19" s="19"/>
      <c r="BJ19" s="1321" t="s">
        <v>75</v>
      </c>
      <c r="BK19" s="1321"/>
      <c r="BL19" s="1321"/>
      <c r="BM19" s="13">
        <f t="shared" ref="BM19:BM23" si="5">SUM(BO19:BR19)</f>
        <v>0</v>
      </c>
      <c r="BN19" s="13"/>
      <c r="BO19" s="13">
        <f>ROUND(+IF(BJ19="SELECT CONSULTANT",0,($Q$36+$U$36)*VLOOKUP(BJ19,Specialty_Consultant_Percentage,3))*0.4,-3)</f>
        <v>0</v>
      </c>
      <c r="BP19" s="13"/>
      <c r="BQ19" s="13">
        <f>ROUND(+IF(BJ19="SELECT CONSULTANT",0,($Q$36+$U$36)*VLOOKUP(BJ19,Specialty_Consultant_Percentage,3))*0.37,-3)</f>
        <v>0</v>
      </c>
      <c r="BR19" s="13">
        <f>ROUND(+IF(BJ19="SELECT CONSULTANT",0,($Q$36+$U$36)*VLOOKUP(BJ19,Specialty_Consultant_Percentage,3))*0.23,-3)</f>
        <v>0</v>
      </c>
      <c r="BS19" s="63"/>
    </row>
    <row r="20" spans="1:71" ht="12.95" customHeight="1">
      <c r="A20" s="34"/>
      <c r="B20" s="45" t="s">
        <v>76</v>
      </c>
      <c r="C20" s="15"/>
      <c r="D20" s="15"/>
      <c r="E20" s="15"/>
      <c r="F20" s="15"/>
      <c r="G20" s="15"/>
      <c r="H20" s="15"/>
      <c r="I20" s="15"/>
      <c r="J20" s="15"/>
      <c r="K20" s="15"/>
      <c r="L20" s="15"/>
      <c r="M20" s="12"/>
      <c r="N20" s="35" t="s">
        <v>72</v>
      </c>
      <c r="O20" s="295"/>
      <c r="P20" s="35"/>
      <c r="Q20" s="295"/>
      <c r="R20" s="35"/>
      <c r="S20" s="295"/>
      <c r="T20" s="35"/>
      <c r="U20" s="295"/>
      <c r="V20" s="35" t="s">
        <v>72</v>
      </c>
      <c r="W20" s="1238">
        <f t="shared" si="1"/>
        <v>0</v>
      </c>
      <c r="X20" s="61"/>
      <c r="Y20" s="475"/>
      <c r="Z20" s="541"/>
      <c r="AA20" s="194"/>
      <c r="AB20" s="19"/>
      <c r="AC20" s="1321" t="s">
        <v>75</v>
      </c>
      <c r="AD20" s="1321"/>
      <c r="AE20" s="1321"/>
      <c r="AF20" s="13">
        <f t="shared" si="2"/>
        <v>0</v>
      </c>
      <c r="AG20" s="13"/>
      <c r="AH20" s="13">
        <f>ROUND(+IF(AC20="SELECT CONSULTANT",0,($O$36+$S$36)*VLOOKUP(AC20,Specialty_Consultant_Percentage,3))*0.4,-3)</f>
        <v>0</v>
      </c>
      <c r="AI20" s="13"/>
      <c r="AJ20" s="13">
        <f>ROUND(+IF(AC20="SELECT CONSULTANT",0,($O$36+$S$36)*VLOOKUP(AC20,Specialty_Consultant_Percentage,3))*0.37,-3)</f>
        <v>0</v>
      </c>
      <c r="AK20" s="13">
        <f>ROUND(+IF(AC20="SELECT CONSULTANT",0,($O$36+$S$36)*VLOOKUP(AC20,Specialty_Consultant_Percentage,3))*0.23,-3)</f>
        <v>0</v>
      </c>
      <c r="AL20" s="12"/>
      <c r="AM20" s="19"/>
      <c r="AN20" s="1321" t="s">
        <v>75</v>
      </c>
      <c r="AO20" s="1321"/>
      <c r="AP20" s="1321"/>
      <c r="AQ20" s="13">
        <f t="shared" si="3"/>
        <v>0</v>
      </c>
      <c r="AR20" s="13"/>
      <c r="AS20" s="13">
        <f>ROUND(+IF(AN20="SELECT CONSULTANT",0,($Q$36+$U$36)*VLOOKUP(AN20,Specialty_Consultant_Percentage,3))*0.4,-3)</f>
        <v>0</v>
      </c>
      <c r="AT20" s="13"/>
      <c r="AU20" s="13">
        <f>ROUND(+IF(AN20="SELECT CONSULTANT",0,($Q$36+$U$36)*VLOOKUP(AN20,Specialty_Consultant_Percentage,3))*0.37,-3)</f>
        <v>0</v>
      </c>
      <c r="AV20" s="13">
        <f>ROUND(+IF(AN20="SELECT CONSULTANT",0,($Q$36+$U$36)*VLOOKUP(AN20,Specialty_Consultant_Percentage,3))*0.23,-3)</f>
        <v>0</v>
      </c>
      <c r="AW20" s="63"/>
      <c r="AX20" s="19"/>
      <c r="AY20" s="1321" t="s">
        <v>75</v>
      </c>
      <c r="AZ20" s="1321"/>
      <c r="BA20" s="1321"/>
      <c r="BB20" s="13">
        <f t="shared" si="4"/>
        <v>0</v>
      </c>
      <c r="BC20" s="13"/>
      <c r="BD20" s="13">
        <f>ROUND(+IF(AY20="SELECT CONSULTANT",0,($Q$36+$U$36)*VLOOKUP(AY20,Specialty_Consultant_Percentage,3))*0.4,-3)</f>
        <v>0</v>
      </c>
      <c r="BE20" s="13"/>
      <c r="BF20" s="13">
        <f>ROUND(+IF(AY20="SELECT CONSULTANT",0,($Q$36+$U$36)*VLOOKUP(AY20,Specialty_Consultant_Percentage,3))*0.37,-3)</f>
        <v>0</v>
      </c>
      <c r="BG20" s="13">
        <f>ROUND(+IF(AY20="SELECT CONSULTANT",0,($Q$36+$U$36)*VLOOKUP(AY20,Specialty_Consultant_Percentage,3))*0.23,-3)</f>
        <v>0</v>
      </c>
      <c r="BH20" s="63"/>
      <c r="BI20" s="19"/>
      <c r="BJ20" s="1321" t="s">
        <v>75</v>
      </c>
      <c r="BK20" s="1321"/>
      <c r="BL20" s="1321"/>
      <c r="BM20" s="13">
        <f t="shared" si="5"/>
        <v>0</v>
      </c>
      <c r="BN20" s="13"/>
      <c r="BO20" s="13">
        <f>ROUND(+IF(BJ20="SELECT CONSULTANT",0,($Q$36+$U$36)*VLOOKUP(BJ20,Specialty_Consultant_Percentage,3))*0.4,-3)</f>
        <v>0</v>
      </c>
      <c r="BP20" s="13"/>
      <c r="BQ20" s="13">
        <f>ROUND(+IF(BJ20="SELECT CONSULTANT",0,($Q$36+$U$36)*VLOOKUP(BJ20,Specialty_Consultant_Percentage,3))*0.37,-3)</f>
        <v>0</v>
      </c>
      <c r="BR20" s="13">
        <f>ROUND(+IF(BJ20="SELECT CONSULTANT",0,($Q$36+$U$36)*VLOOKUP(BJ20,Specialty_Consultant_Percentage,3))*0.23,-3)</f>
        <v>0</v>
      </c>
      <c r="BS20" s="63"/>
    </row>
    <row r="21" spans="1:71" ht="12.95" customHeight="1">
      <c r="A21" s="34"/>
      <c r="B21" s="45" t="s">
        <v>77</v>
      </c>
      <c r="C21" s="15"/>
      <c r="D21" s="15"/>
      <c r="E21" s="15"/>
      <c r="F21" s="15"/>
      <c r="G21" s="15"/>
      <c r="H21" s="15"/>
      <c r="I21" s="15"/>
      <c r="J21" s="15"/>
      <c r="K21" s="15"/>
      <c r="L21" s="15"/>
      <c r="M21" s="15"/>
      <c r="N21" s="35" t="s">
        <v>72</v>
      </c>
      <c r="O21" s="295">
        <f>'Legal Fees'!H3</f>
        <v>0</v>
      </c>
      <c r="P21" s="35"/>
      <c r="Q21" s="295">
        <f>'Legal Fees'!I3</f>
        <v>0</v>
      </c>
      <c r="R21" s="35"/>
      <c r="S21" s="295">
        <f>'Legal Fees'!J3</f>
        <v>0</v>
      </c>
      <c r="T21" s="35"/>
      <c r="U21" s="295">
        <f>'Legal Fees'!K3</f>
        <v>0</v>
      </c>
      <c r="V21" s="35" t="s">
        <v>72</v>
      </c>
      <c r="W21" s="1238">
        <f t="shared" si="1"/>
        <v>0</v>
      </c>
      <c r="X21" s="61"/>
      <c r="Y21" s="475"/>
      <c r="Z21" s="541"/>
      <c r="AA21" s="194"/>
      <c r="AB21" s="19"/>
      <c r="AC21" s="1321" t="s">
        <v>75</v>
      </c>
      <c r="AD21" s="1321"/>
      <c r="AE21" s="1321"/>
      <c r="AF21" s="13">
        <f t="shared" si="2"/>
        <v>0</v>
      </c>
      <c r="AG21" s="13"/>
      <c r="AH21" s="13">
        <f>ROUND(+IF(AC21="SELECT CONSULTANT",0,($O$36+$S$36)*VLOOKUP(AC21,Specialty_Consultant_Percentage,3))*0.4,-3)</f>
        <v>0</v>
      </c>
      <c r="AI21" s="13"/>
      <c r="AJ21" s="13">
        <f>ROUND(+IF(AC21="SELECT CONSULTANT",0,($O$36+$S$36)*VLOOKUP(AC21,Specialty_Consultant_Percentage,3))*0.37,-3)</f>
        <v>0</v>
      </c>
      <c r="AK21" s="13">
        <f>ROUND(+IF(AC21="SELECT CONSULTANT",0,($O$36+$S$36)*VLOOKUP(AC21,Specialty_Consultant_Percentage,3))*0.23,-3)</f>
        <v>0</v>
      </c>
      <c r="AL21" s="12"/>
      <c r="AM21" s="19"/>
      <c r="AN21" s="1321" t="s">
        <v>75</v>
      </c>
      <c r="AO21" s="1321"/>
      <c r="AP21" s="1321"/>
      <c r="AQ21" s="13">
        <f t="shared" si="3"/>
        <v>0</v>
      </c>
      <c r="AR21" s="13"/>
      <c r="AS21" s="13">
        <f>ROUND(+IF(AN21="SELECT CONSULTANT",0,($Q$36+$U$36)*VLOOKUP(AN21,Specialty_Consultant_Percentage,3))*0.4,-3)</f>
        <v>0</v>
      </c>
      <c r="AT21" s="13"/>
      <c r="AU21" s="13">
        <f>ROUND(+IF(AN21="SELECT CONSULTANT",0,($Q$36+$U$36)*VLOOKUP(AN21,Specialty_Consultant_Percentage,3))*0.37,-3)</f>
        <v>0</v>
      </c>
      <c r="AV21" s="13">
        <f>ROUND(+IF(AN21="SELECT CONSULTANT",0,($Q$36+$U$36)*VLOOKUP(AN21,Specialty_Consultant_Percentage,3))*0.23,-3)</f>
        <v>0</v>
      </c>
      <c r="AW21" s="63"/>
      <c r="AX21" s="19"/>
      <c r="AY21" s="1321" t="s">
        <v>75</v>
      </c>
      <c r="AZ21" s="1321"/>
      <c r="BA21" s="1321"/>
      <c r="BB21" s="13">
        <f t="shared" si="4"/>
        <v>0</v>
      </c>
      <c r="BC21" s="13"/>
      <c r="BD21" s="13">
        <f>ROUND(+IF(AY21="SELECT CONSULTANT",0,($Q$36+$U$36)*VLOOKUP(AY21,Specialty_Consultant_Percentage,3))*0.4,-3)</f>
        <v>0</v>
      </c>
      <c r="BE21" s="13"/>
      <c r="BF21" s="13">
        <f>ROUND(+IF(AY21="SELECT CONSULTANT",0,($Q$36+$U$36)*VLOOKUP(AY21,Specialty_Consultant_Percentage,3))*0.37,-3)</f>
        <v>0</v>
      </c>
      <c r="BG21" s="13">
        <f>ROUND(+IF(AY21="SELECT CONSULTANT",0,($Q$36+$U$36)*VLOOKUP(AY21,Specialty_Consultant_Percentage,3))*0.23,-3)</f>
        <v>0</v>
      </c>
      <c r="BH21" s="63"/>
      <c r="BI21" s="19"/>
      <c r="BJ21" s="1321" t="s">
        <v>75</v>
      </c>
      <c r="BK21" s="1321"/>
      <c r="BL21" s="1321"/>
      <c r="BM21" s="13">
        <f t="shared" si="5"/>
        <v>0</v>
      </c>
      <c r="BN21" s="13"/>
      <c r="BO21" s="13">
        <f>ROUND(+IF(BJ21="SELECT CONSULTANT",0,($Q$36+$U$36)*VLOOKUP(BJ21,Specialty_Consultant_Percentage,3))*0.4,-3)</f>
        <v>0</v>
      </c>
      <c r="BP21" s="13"/>
      <c r="BQ21" s="13">
        <f>ROUND(+IF(BJ21="SELECT CONSULTANT",0,($Q$36+$U$36)*VLOOKUP(BJ21,Specialty_Consultant_Percentage,3))*0.37,-3)</f>
        <v>0</v>
      </c>
      <c r="BR21" s="13">
        <f>ROUND(+IF(BJ21="SELECT CONSULTANT",0,($Q$36+$U$36)*VLOOKUP(BJ21,Specialty_Consultant_Percentage,3))*0.23,-3)</f>
        <v>0</v>
      </c>
      <c r="BS21" s="63"/>
    </row>
    <row r="22" spans="1:71" ht="12.95" customHeight="1">
      <c r="A22" s="34"/>
      <c r="B22" s="45" t="s">
        <v>78</v>
      </c>
      <c r="C22" s="15"/>
      <c r="D22" s="15"/>
      <c r="E22" s="15"/>
      <c r="F22" s="15"/>
      <c r="G22" s="15"/>
      <c r="H22" s="15"/>
      <c r="I22" s="15"/>
      <c r="J22" s="15"/>
      <c r="K22" s="15"/>
      <c r="L22" s="15"/>
      <c r="M22" s="15"/>
      <c r="N22" s="35" t="s">
        <v>72</v>
      </c>
      <c r="O22" s="295">
        <f>Financial!H13</f>
        <v>0</v>
      </c>
      <c r="P22" s="35"/>
      <c r="Q22" s="295">
        <f>Financial!I13</f>
        <v>0</v>
      </c>
      <c r="R22" s="35"/>
      <c r="S22" s="295">
        <f>Financial!J13</f>
        <v>0</v>
      </c>
      <c r="T22" s="35"/>
      <c r="U22" s="295">
        <f>Financial!K13</f>
        <v>0</v>
      </c>
      <c r="V22" s="35" t="s">
        <v>72</v>
      </c>
      <c r="W22" s="1237">
        <f t="shared" si="1"/>
        <v>0</v>
      </c>
      <c r="X22" s="171"/>
      <c r="Y22" s="475"/>
      <c r="Z22" s="541"/>
      <c r="AA22" s="194"/>
      <c r="AB22" s="6"/>
      <c r="AC22" s="1321" t="s">
        <v>75</v>
      </c>
      <c r="AD22" s="1321"/>
      <c r="AE22" s="1321"/>
      <c r="AF22" s="13">
        <f t="shared" si="2"/>
        <v>0</v>
      </c>
      <c r="AG22" s="13"/>
      <c r="AH22" s="13">
        <f>ROUND(+IF(AC22="SELECT CONSULTANT",0,($O$36+$S$36)*VLOOKUP(AC22,Specialty_Consultant_Percentage,3))*0.4,-3)</f>
        <v>0</v>
      </c>
      <c r="AI22" s="13"/>
      <c r="AJ22" s="13">
        <f>ROUND(+IF(AC22="SELECT CONSULTANT",0,($O$36+$S$36)*VLOOKUP(AC22,Specialty_Consultant_Percentage,3))*0.37,-3)</f>
        <v>0</v>
      </c>
      <c r="AK22" s="13">
        <f>ROUND(+IF(AC22="SELECT CONSULTANT",0,($O$36+$S$36)*VLOOKUP(AC22,Specialty_Consultant_Percentage,3))*0.23,-3)</f>
        <v>0</v>
      </c>
      <c r="AL22" s="12"/>
      <c r="AN22" s="1321" t="s">
        <v>75</v>
      </c>
      <c r="AO22" s="1321"/>
      <c r="AP22" s="1321"/>
      <c r="AQ22" s="13">
        <f t="shared" si="3"/>
        <v>0</v>
      </c>
      <c r="AR22" s="13"/>
      <c r="AS22" s="13">
        <f>ROUND(+IF(AN22="SELECT CONSULTANT",0,($Q$36+$U$36)*VLOOKUP(AN22,Specialty_Consultant_Percentage,3))*0.4,-3)</f>
        <v>0</v>
      </c>
      <c r="AT22" s="13"/>
      <c r="AU22" s="13">
        <f>ROUND(+IF(AN22="SELECT CONSULTANT",0,($Q$36+$U$36)*VLOOKUP(AN22,Specialty_Consultant_Percentage,3))*0.37,-3)</f>
        <v>0</v>
      </c>
      <c r="AV22" s="13">
        <f>ROUND(+IF(AN22="SELECT CONSULTANT",0,($Q$36+$U$36)*VLOOKUP(AN22,Specialty_Consultant_Percentage,3))*0.23,-3)</f>
        <v>0</v>
      </c>
      <c r="AW22" s="63"/>
      <c r="AX22" s="6"/>
      <c r="AY22" s="1321" t="s">
        <v>75</v>
      </c>
      <c r="AZ22" s="1321"/>
      <c r="BA22" s="1321"/>
      <c r="BB22" s="13">
        <f t="shared" si="4"/>
        <v>0</v>
      </c>
      <c r="BC22" s="13"/>
      <c r="BD22" s="13">
        <f>ROUND(+IF(AY22="SELECT CONSULTANT",0,($Q$36+$U$36)*VLOOKUP(AY22,Specialty_Consultant_Percentage,3))*0.4,-3)</f>
        <v>0</v>
      </c>
      <c r="BE22" s="13"/>
      <c r="BF22" s="13">
        <f>ROUND(+IF(AY22="SELECT CONSULTANT",0,($Q$36+$U$36)*VLOOKUP(AY22,Specialty_Consultant_Percentage,3))*0.37,-3)</f>
        <v>0</v>
      </c>
      <c r="BG22" s="13">
        <f>ROUND(+IF(AY22="SELECT CONSULTANT",0,($Q$36+$U$36)*VLOOKUP(AY22,Specialty_Consultant_Percentage,3))*0.23,-3)</f>
        <v>0</v>
      </c>
      <c r="BH22" s="63"/>
      <c r="BI22" s="6"/>
      <c r="BJ22" s="1321" t="s">
        <v>75</v>
      </c>
      <c r="BK22" s="1321"/>
      <c r="BL22" s="1321"/>
      <c r="BM22" s="13">
        <f t="shared" si="5"/>
        <v>0</v>
      </c>
      <c r="BN22" s="13"/>
      <c r="BO22" s="13">
        <f>ROUND(+IF(BJ22="SELECT CONSULTANT",0,($Q$36+$U$36)*VLOOKUP(BJ22,Specialty_Consultant_Percentage,3))*0.4,-3)</f>
        <v>0</v>
      </c>
      <c r="BP22" s="13"/>
      <c r="BQ22" s="13">
        <f>ROUND(+IF(BJ22="SELECT CONSULTANT",0,($Q$36+$U$36)*VLOOKUP(BJ22,Specialty_Consultant_Percentage,3))*0.37,-3)</f>
        <v>0</v>
      </c>
      <c r="BR22" s="13">
        <f>ROUND(+IF(BJ22="SELECT CONSULTANT",0,($Q$36+$U$36)*VLOOKUP(BJ22,Specialty_Consultant_Percentage,3))*0.23,-3)</f>
        <v>0</v>
      </c>
      <c r="BS22" s="63"/>
    </row>
    <row r="23" spans="1:71" ht="11.45" customHeight="1">
      <c r="A23" s="6"/>
      <c r="B23" s="5" t="s">
        <v>79</v>
      </c>
      <c r="N23" s="35" t="s">
        <v>72</v>
      </c>
      <c r="O23" s="295">
        <f>AF75</f>
        <v>0</v>
      </c>
      <c r="P23" s="35"/>
      <c r="Q23" s="295"/>
      <c r="R23" s="35"/>
      <c r="S23" s="295"/>
      <c r="T23" s="35"/>
      <c r="U23" s="295"/>
      <c r="V23" s="35" t="s">
        <v>72</v>
      </c>
      <c r="W23" s="1238">
        <f t="shared" si="1"/>
        <v>0</v>
      </c>
      <c r="X23" s="61"/>
      <c r="Y23" s="475"/>
      <c r="Z23" s="541"/>
      <c r="AA23" s="476"/>
      <c r="AB23" s="6"/>
      <c r="AC23" s="1321" t="s">
        <v>75</v>
      </c>
      <c r="AD23" s="1321"/>
      <c r="AE23" s="1321"/>
      <c r="AF23" s="13">
        <f t="shared" si="2"/>
        <v>0</v>
      </c>
      <c r="AG23" s="13"/>
      <c r="AH23" s="13">
        <f>ROUND(+IF(AC23="SELECT CONSULTANT",0,($O$36+$S$36)*VLOOKUP(AC23,Specialty_Consultant_Percentage,3))*0.4,-3)</f>
        <v>0</v>
      </c>
      <c r="AI23" s="13"/>
      <c r="AJ23" s="13">
        <f>ROUND(+IF(AC23="SELECT CONSULTANT",0,($O$36+$S$36)*VLOOKUP(AC23,Specialty_Consultant_Percentage,3))*0.37,-3)</f>
        <v>0</v>
      </c>
      <c r="AK23" s="13">
        <f>ROUND(+IF(AC23="SELECT CONSULTANT",0,($O$36+$S$36)*VLOOKUP(AC23,Specialty_Consultant_Percentage,3))*0.23,-3)</f>
        <v>0</v>
      </c>
      <c r="AL23" s="12"/>
      <c r="AN23" s="1321" t="s">
        <v>75</v>
      </c>
      <c r="AO23" s="1321"/>
      <c r="AP23" s="1321"/>
      <c r="AQ23" s="13">
        <f t="shared" si="3"/>
        <v>0</v>
      </c>
      <c r="AR23" s="13"/>
      <c r="AS23" s="13">
        <f>ROUND(+IF(AN23="SELECT CONSULTANT",0,($Q$36+$U$36)*VLOOKUP(AN23,Specialty_Consultant_Percentage,3))*0.4,-3)</f>
        <v>0</v>
      </c>
      <c r="AT23" s="13"/>
      <c r="AU23" s="13">
        <f>ROUND(+IF(AN23="SELECT CONSULTANT",0,($Q$36+$U$36)*VLOOKUP(AN23,Specialty_Consultant_Percentage,3))*0.37,-3)</f>
        <v>0</v>
      </c>
      <c r="AV23" s="13">
        <f>ROUND(+IF(AN23="SELECT CONSULTANT",0,($Q$36+$U$36)*VLOOKUP(AN23,Specialty_Consultant_Percentage,3))*0.23,-3)</f>
        <v>0</v>
      </c>
      <c r="AW23" s="63"/>
      <c r="AX23" s="6"/>
      <c r="AY23" s="1321" t="s">
        <v>75</v>
      </c>
      <c r="AZ23" s="1321"/>
      <c r="BA23" s="1321"/>
      <c r="BB23" s="13">
        <f t="shared" si="4"/>
        <v>0</v>
      </c>
      <c r="BC23" s="13"/>
      <c r="BD23" s="13">
        <f>ROUND(+IF(AY23="SELECT CONSULTANT",0,($Q$36+$U$36)*VLOOKUP(AY23,Specialty_Consultant_Percentage,3))*0.4,-3)</f>
        <v>0</v>
      </c>
      <c r="BE23" s="13"/>
      <c r="BF23" s="13">
        <f>ROUND(+IF(AY23="SELECT CONSULTANT",0,($Q$36+$U$36)*VLOOKUP(AY23,Specialty_Consultant_Percentage,3))*0.37,-3)</f>
        <v>0</v>
      </c>
      <c r="BG23" s="13">
        <f>ROUND(+IF(AY23="SELECT CONSULTANT",0,($Q$36+$U$36)*VLOOKUP(AY23,Specialty_Consultant_Percentage,3))*0.23,-3)</f>
        <v>0</v>
      </c>
      <c r="BH23" s="63"/>
      <c r="BI23" s="6"/>
      <c r="BJ23" s="1321" t="s">
        <v>75</v>
      </c>
      <c r="BK23" s="1321"/>
      <c r="BL23" s="1321"/>
      <c r="BM23" s="13">
        <f t="shared" si="5"/>
        <v>0</v>
      </c>
      <c r="BN23" s="13"/>
      <c r="BO23" s="13">
        <f>ROUND(+IF(BJ23="SELECT CONSULTANT",0,($Q$36+$U$36)*VLOOKUP(BJ23,Specialty_Consultant_Percentage,3))*0.4,-3)</f>
        <v>0</v>
      </c>
      <c r="BP23" s="13"/>
      <c r="BQ23" s="13">
        <f>ROUND(+IF(BJ23="SELECT CONSULTANT",0,($Q$36+$U$36)*VLOOKUP(BJ23,Specialty_Consultant_Percentage,3))*0.37,-3)</f>
        <v>0</v>
      </c>
      <c r="BR23" s="13">
        <f>ROUND(+IF(BJ23="SELECT CONSULTANT",0,($Q$36+$U$36)*VLOOKUP(BJ23,Specialty_Consultant_Percentage,3))*0.23,-3)</f>
        <v>0</v>
      </c>
      <c r="BS23" s="63"/>
    </row>
    <row r="24" spans="1:71" ht="12.95" customHeight="1">
      <c r="A24" s="91" t="s">
        <v>80</v>
      </c>
      <c r="B24" s="31" t="s">
        <v>81</v>
      </c>
      <c r="C24" s="15"/>
      <c r="D24" s="15"/>
      <c r="E24" s="15"/>
      <c r="F24" s="15"/>
      <c r="G24" s="15"/>
      <c r="H24" s="15"/>
      <c r="I24" s="15"/>
      <c r="J24" s="15"/>
      <c r="K24" s="15"/>
      <c r="L24" s="15"/>
      <c r="M24" s="15"/>
      <c r="N24" s="41" t="s">
        <v>72</v>
      </c>
      <c r="O24" s="296">
        <f>SUM(O18:O23)</f>
        <v>0</v>
      </c>
      <c r="P24" s="41" t="s">
        <v>72</v>
      </c>
      <c r="Q24" s="296">
        <f>SUM(Q18:Q23)</f>
        <v>0</v>
      </c>
      <c r="R24" s="41" t="s">
        <v>72</v>
      </c>
      <c r="S24" s="296">
        <f>SUM(S18:S23)</f>
        <v>0</v>
      </c>
      <c r="T24" s="41" t="s">
        <v>72</v>
      </c>
      <c r="U24" s="296">
        <f>SUM(U18:U23)</f>
        <v>0</v>
      </c>
      <c r="V24" s="41" t="s">
        <v>72</v>
      </c>
      <c r="W24" s="1239">
        <f t="shared" si="1"/>
        <v>0</v>
      </c>
      <c r="X24" s="61"/>
      <c r="Y24" s="1241"/>
      <c r="Z24" s="541"/>
      <c r="AA24" s="194"/>
      <c r="AB24" s="6"/>
      <c r="AC24" s="12"/>
      <c r="AD24" s="12"/>
      <c r="AE24" s="12"/>
      <c r="AF24" s="12"/>
      <c r="AG24" s="12"/>
      <c r="AH24" s="12"/>
      <c r="AI24" s="12"/>
      <c r="AJ24" s="12"/>
      <c r="AK24" s="12"/>
      <c r="AL24" s="12"/>
      <c r="AN24" s="12"/>
      <c r="AO24" s="12"/>
      <c r="AP24" s="12"/>
      <c r="AQ24" s="12"/>
      <c r="AR24" s="12"/>
      <c r="AS24" s="12"/>
      <c r="AT24" s="12"/>
      <c r="AU24" s="12"/>
      <c r="AV24" s="12"/>
      <c r="AW24" s="64"/>
      <c r="AX24" s="6"/>
      <c r="AY24" s="12"/>
      <c r="AZ24" s="12"/>
      <c r="BA24" s="12"/>
      <c r="BB24" s="12"/>
      <c r="BC24" s="12"/>
      <c r="BD24" s="12"/>
      <c r="BE24" s="12"/>
      <c r="BF24" s="12"/>
      <c r="BG24" s="12"/>
      <c r="BH24" s="64"/>
      <c r="BI24" s="6"/>
      <c r="BJ24" s="12"/>
      <c r="BK24" s="12"/>
      <c r="BL24" s="12"/>
      <c r="BM24" s="12"/>
      <c r="BN24" s="12"/>
      <c r="BO24" s="12"/>
      <c r="BP24" s="12"/>
      <c r="BQ24" s="12"/>
      <c r="BR24" s="12"/>
      <c r="BS24" s="64"/>
    </row>
    <row r="25" spans="1:71" ht="12.95" customHeight="1">
      <c r="A25" s="34"/>
      <c r="B25" s="45"/>
      <c r="C25" s="15"/>
      <c r="D25" s="15"/>
      <c r="E25" s="15"/>
      <c r="F25" s="15"/>
      <c r="G25" s="15"/>
      <c r="H25" s="15"/>
      <c r="I25" s="15"/>
      <c r="J25" s="15"/>
      <c r="K25" s="15"/>
      <c r="L25" s="15"/>
      <c r="M25" s="15"/>
      <c r="N25" s="35"/>
      <c r="O25" s="700"/>
      <c r="P25" s="38"/>
      <c r="Q25" s="700"/>
      <c r="R25" s="35"/>
      <c r="S25" s="700"/>
      <c r="T25" s="38"/>
      <c r="U25" s="700"/>
      <c r="V25" s="38"/>
      <c r="W25" s="15"/>
      <c r="X25" s="61"/>
      <c r="Y25" s="475"/>
      <c r="Z25" s="541"/>
      <c r="AA25" s="194"/>
      <c r="AB25" s="6"/>
      <c r="AC25" s="29" t="s">
        <v>82</v>
      </c>
      <c r="AD25" s="12"/>
      <c r="AE25" s="12"/>
      <c r="AF25" s="12"/>
      <c r="AG25" s="12"/>
      <c r="AH25" s="12"/>
      <c r="AI25" s="12"/>
      <c r="AJ25" s="12"/>
      <c r="AK25" s="12"/>
      <c r="AL25" s="12"/>
      <c r="AN25" s="29" t="s">
        <v>83</v>
      </c>
      <c r="AO25" s="12"/>
      <c r="AP25" s="12"/>
      <c r="AQ25" s="12"/>
      <c r="AR25" s="12"/>
      <c r="AS25" s="12"/>
      <c r="AT25" s="12"/>
      <c r="AU25" s="12"/>
      <c r="AV25" s="12"/>
      <c r="AW25" s="63"/>
      <c r="AX25" s="6"/>
      <c r="AY25" s="29" t="s">
        <v>83</v>
      </c>
      <c r="AZ25" s="12"/>
      <c r="BA25" s="12"/>
      <c r="BB25" s="12"/>
      <c r="BC25" s="12"/>
      <c r="BD25" s="12"/>
      <c r="BE25" s="12"/>
      <c r="BF25" s="12"/>
      <c r="BG25" s="12"/>
      <c r="BH25" s="63"/>
      <c r="BI25" s="6"/>
      <c r="BJ25" s="29" t="s">
        <v>83</v>
      </c>
      <c r="BK25" s="12"/>
      <c r="BL25" s="12"/>
      <c r="BM25" s="12"/>
      <c r="BN25" s="12"/>
      <c r="BO25" s="12"/>
      <c r="BP25" s="12"/>
      <c r="BQ25" s="12"/>
      <c r="BR25" s="12"/>
      <c r="BS25" s="63"/>
    </row>
    <row r="26" spans="1:71" ht="12.95" customHeight="1">
      <c r="A26" s="6"/>
      <c r="B26" s="31" t="s">
        <v>84</v>
      </c>
      <c r="O26" s="1198" t="str">
        <f>O17</f>
        <v>DEVELOPER</v>
      </c>
      <c r="P26" s="9"/>
      <c r="Q26" s="1198" t="str">
        <f>Q17</f>
        <v>CAMPUS</v>
      </c>
      <c r="R26" s="1272"/>
      <c r="S26" s="1198" t="str">
        <f>S17</f>
        <v>AUXILIARY</v>
      </c>
      <c r="T26" s="9"/>
      <c r="U26" s="1198" t="str">
        <f>U17</f>
        <v>OTHER</v>
      </c>
      <c r="W26" s="1198" t="s">
        <v>70</v>
      </c>
      <c r="X26" s="161" t="s">
        <v>85</v>
      </c>
      <c r="Y26" s="475"/>
      <c r="Z26" s="541"/>
      <c r="AA26" s="194"/>
      <c r="AB26" s="6"/>
      <c r="AC26" s="33" t="s">
        <v>86</v>
      </c>
      <c r="AD26" s="33"/>
      <c r="AE26" s="33"/>
      <c r="AF26" s="67" t="e">
        <f>ROUND(IF(W49&gt;90000000,22000,IF(W49&gt;50000000,18000,IF(W49&gt;30000000,15000,IF(W49&gt;10000000,12000,IF(W49&gt;6000000,10000,IF(W49&gt;2000000,8000,IF(W49&gt;600000,6000,0)))))))*(('FEE CALCS'!B5)/$W$40),-3)</f>
        <v>#DIV/0!</v>
      </c>
      <c r="AG26" s="57"/>
      <c r="AH26" s="294" t="e">
        <f>ROUND((AF26*0.5),0-3)</f>
        <v>#DIV/0!</v>
      </c>
      <c r="AI26" s="57"/>
      <c r="AJ26" s="294" t="e">
        <f>ROUND((AF26*0.5),0-3)</f>
        <v>#DIV/0!</v>
      </c>
      <c r="AK26" s="294">
        <v>0</v>
      </c>
      <c r="AL26" s="12"/>
      <c r="AN26" s="12" t="s">
        <v>86</v>
      </c>
      <c r="AO26" s="12"/>
      <c r="AP26" s="39"/>
      <c r="AQ26" s="67" t="e">
        <f>ROUND(IF(W49&gt;90000000,22000,IF(W49&gt;50000000,18000,IF(W49&gt;30000000,15000,IF(W49&gt;10000000,12000,IF(W49&gt;6000000,10000,IF(W49&gt;2000000,8000,IF(W49&gt;600000,6000,0)))))))*(('FEE CALCS'!J5)/$W$40),-3)</f>
        <v>#DIV/0!</v>
      </c>
      <c r="AR26" s="33"/>
      <c r="AS26" s="294" t="e">
        <f>ROUND((AQ26*0.5),0-3)</f>
        <v>#DIV/0!</v>
      </c>
      <c r="AT26" s="33"/>
      <c r="AU26" s="294" t="e">
        <f>ROUND((AQ26*0.5),0-3)</f>
        <v>#DIV/0!</v>
      </c>
      <c r="AV26" s="67">
        <v>0</v>
      </c>
      <c r="AW26" s="63"/>
      <c r="AX26" s="6"/>
      <c r="AY26" s="12" t="s">
        <v>86</v>
      </c>
      <c r="AZ26" s="12"/>
      <c r="BA26" s="39"/>
      <c r="BB26" s="67" t="e">
        <f>ROUND(IF(W49&gt;90000000,22000,IF(W49&gt;50000000,18000,IF(W49&gt;30000000,15000,IF(W49&gt;10000000,12000,IF(W49&gt;6000000,10000,IF(W49&gt;2000000,8000,IF(W49&gt;600000,6000,0)))))))*(('FEE CALCS'!R5)/$W$40),-3)</f>
        <v>#DIV/0!</v>
      </c>
      <c r="BC26" s="33"/>
      <c r="BD26" s="294" t="e">
        <f>ROUND((BB26*0.5),0-3)</f>
        <v>#DIV/0!</v>
      </c>
      <c r="BE26" s="33"/>
      <c r="BF26" s="294" t="e">
        <f>ROUND((BB26*0.5),0-3)</f>
        <v>#DIV/0!</v>
      </c>
      <c r="BG26" s="67">
        <v>0</v>
      </c>
      <c r="BH26" s="63"/>
      <c r="BI26" s="6"/>
      <c r="BJ26" s="12" t="s">
        <v>86</v>
      </c>
      <c r="BK26" s="12"/>
      <c r="BL26" s="39"/>
      <c r="BM26" s="67" t="e">
        <f>ROUND(IF(Z5&gt;90000000,22000,IF(Z5&gt;50000000,18000,IF(Z5&gt;30000000,15000,IF(Z5&gt;10000000,12000,IF(Z5&gt;6000000,10000,IF(Z5&gt;2000000,8000,IF(Z5&gt;600000,6000,0)))))))*(('FEE CALCS'!Z5)/$W$40),-3)</f>
        <v>#DIV/0!</v>
      </c>
      <c r="BN26" s="33"/>
      <c r="BO26" s="294" t="e">
        <f>ROUND((BM26*0.5),0-3)</f>
        <v>#DIV/0!</v>
      </c>
      <c r="BP26" s="33"/>
      <c r="BQ26" s="294" t="e">
        <f>ROUND((BM26*0.5),0-3)</f>
        <v>#DIV/0!</v>
      </c>
      <c r="BR26" s="67">
        <v>0</v>
      </c>
      <c r="BS26" s="63"/>
    </row>
    <row r="27" spans="1:71" ht="12.95" customHeight="1">
      <c r="A27" s="34"/>
      <c r="B27" s="31" t="s">
        <v>87</v>
      </c>
      <c r="C27" s="31" t="s">
        <v>88</v>
      </c>
      <c r="E27" s="31"/>
      <c r="F27" s="31"/>
      <c r="G27" s="31"/>
      <c r="H27" s="31"/>
      <c r="I27" s="31"/>
      <c r="J27" s="31"/>
      <c r="K27" s="31"/>
      <c r="L27" s="31"/>
      <c r="M27" s="24"/>
      <c r="N27" s="41" t="s">
        <v>72</v>
      </c>
      <c r="O27" s="296"/>
      <c r="P27" s="41" t="s">
        <v>72</v>
      </c>
      <c r="Q27" s="296"/>
      <c r="R27" s="41" t="s">
        <v>72</v>
      </c>
      <c r="S27" s="296"/>
      <c r="T27" s="41" t="s">
        <v>72</v>
      </c>
      <c r="U27" s="296"/>
      <c r="V27" s="43" t="s">
        <v>72</v>
      </c>
      <c r="W27" s="42">
        <f t="shared" ref="W27:W35" si="6">ROUND((O27+Q27+S27+U27),0-3)</f>
        <v>0</v>
      </c>
      <c r="X27" s="1218" t="e">
        <f>W27/$X$11</f>
        <v>#DIV/0!</v>
      </c>
      <c r="Y27" s="475"/>
      <c r="Z27" s="541"/>
      <c r="AA27" s="194"/>
      <c r="AB27" s="6"/>
      <c r="AC27" s="33" t="s">
        <v>89</v>
      </c>
      <c r="AD27" s="12"/>
      <c r="AE27" s="39"/>
      <c r="AF27" s="13">
        <f>SUM(AH27:AK27)</f>
        <v>0</v>
      </c>
      <c r="AG27" s="13"/>
      <c r="AH27" s="13">
        <v>0</v>
      </c>
      <c r="AI27" s="13"/>
      <c r="AJ27" s="294">
        <f>ROUND((IF('FEE CALCS'!B5&lt;1000,0,IF('FEE CALCS'!B5&lt;600000,1500,IF('FEE CALCS'!B5&lt;1000000,(3233.75+(('FEE CALCS'!B5-500000)/1000)*4.75)*0.65*0.85,IF('FEE CALCS'!B5&lt;4000000,(5608.75+(('FEE CALCS'!B5-1000000)/1000)*3.15)*0.65*0.85,IF('FEE CALCS'!B5&lt;10000000,(5608.75+(('FEE CALCS'!B5-1000000)/1000)*3.15)*0.65*0.75,(5608.75+(('FEE CALCS'!B5-1000000)/1000)*3.15)*0.65*0.7)))))),-3)</f>
        <v>0</v>
      </c>
      <c r="AK27" s="13">
        <v>0</v>
      </c>
      <c r="AL27" s="12"/>
      <c r="AN27" s="33" t="s">
        <v>89</v>
      </c>
      <c r="AO27" s="12"/>
      <c r="AP27" s="39"/>
      <c r="AQ27" s="13">
        <f>SUM(AS27:AV27)</f>
        <v>0</v>
      </c>
      <c r="AR27" s="13"/>
      <c r="AS27" s="13">
        <v>0</v>
      </c>
      <c r="AT27" s="13"/>
      <c r="AU27" s="294">
        <f>ROUND((IF('FEE CALCS'!J5&lt;1000,0,IF('FEE CALCS'!J5&lt;600000,1500,IF('FEE CALCS'!J5&lt;1000000,(3233.75+(('FEE CALCS'!J5-500000)/1000)*4.75)*0.65*0.85,IF('FEE CALCS'!J5&lt;4000000,(5608.75+(('FEE CALCS'!J5-1000000)/1000)*3.15)*0.65*0.85,IF('FEE CALCS'!J5&lt;10000000,(5608.75+(('FEE CALCS'!J5-1000000)/1000)*3.15)*0.65*0.75,(5608.75+(('FEE CALCS'!J5-1000000)/1000)*3.15)*0.65*0.7)))))),-3)</f>
        <v>0</v>
      </c>
      <c r="AV27" s="13">
        <v>0</v>
      </c>
      <c r="AW27" s="63"/>
      <c r="AX27" s="6"/>
      <c r="AY27" s="33" t="s">
        <v>89</v>
      </c>
      <c r="AZ27" s="12"/>
      <c r="BA27" s="39"/>
      <c r="BB27" s="13">
        <f>SUM(BD27:BG27)</f>
        <v>0</v>
      </c>
      <c r="BC27" s="13"/>
      <c r="BD27" s="13">
        <v>0</v>
      </c>
      <c r="BE27" s="13"/>
      <c r="BF27" s="294">
        <f>ROUND((IF('FEE CALCS'!R5&lt;1000,0,IF('FEE CALCS'!R5&lt;600000,1500,IF('FEE CALCS'!R5&lt;1000000,(3233.75+(('FEE CALCS'!R5-500000)/1000)*4.75)*0.65*0.85,IF('FEE CALCS'!R5&lt;4000000,(5608.75+(('FEE CALCS'!R5-1000000)/1000)*3.15)*0.65*0.85,IF('FEE CALCS'!R5&lt;10000000,(5608.75+(('FEE CALCS'!R5-1000000)/1000)*3.15)*0.65*0.75,(5608.75+(('FEE CALCS'!R5-1000000)/1000)*3.15)*0.65*0.7)))))),-3)</f>
        <v>0</v>
      </c>
      <c r="BG27" s="13">
        <v>0</v>
      </c>
      <c r="BH27" s="63"/>
      <c r="BI27" s="6"/>
      <c r="BJ27" s="33" t="s">
        <v>89</v>
      </c>
      <c r="BK27" s="12"/>
      <c r="BL27" s="39"/>
      <c r="BM27" s="13">
        <f>SUM(BO27:BR27)</f>
        <v>0</v>
      </c>
      <c r="BN27" s="13"/>
      <c r="BO27" s="13">
        <v>0</v>
      </c>
      <c r="BP27" s="13"/>
      <c r="BQ27" s="294">
        <f>ROUND((IF('FEE CALCS'!Z5&lt;1000,0,IF('FEE CALCS'!Z5&lt;600000,1500,IF('FEE CALCS'!Z5&lt;1000000,(3233.75+(('FEE CALCS'!Z5-500000)/1000)*4.75)*0.65*0.85,IF('FEE CALCS'!Z5&lt;4000000,(5608.75+(('FEE CALCS'!Z5-1000000)/1000)*3.15)*0.65*0.85,IF('FEE CALCS'!Z5&lt;10000000,(5608.75+(('FEE CALCS'!Z5-1000000)/1000)*3.15)*0.65*0.75,(5608.75+(('FEE CALCS'!Z5-1000000)/1000)*3.15)*0.65*0.7)))))),-3)</f>
        <v>0</v>
      </c>
      <c r="BR27" s="13">
        <v>0</v>
      </c>
      <c r="BS27" s="63"/>
    </row>
    <row r="28" spans="1:71" ht="12.95" customHeight="1">
      <c r="A28" s="34"/>
      <c r="B28" s="31" t="s">
        <v>90</v>
      </c>
      <c r="C28" s="31" t="s">
        <v>91</v>
      </c>
      <c r="E28" s="31"/>
      <c r="F28" s="31"/>
      <c r="G28" s="31"/>
      <c r="H28" s="31"/>
      <c r="I28" s="31"/>
      <c r="J28" s="31"/>
      <c r="K28" s="31"/>
      <c r="L28" s="31"/>
      <c r="M28" s="24"/>
      <c r="N28" s="41" t="s">
        <v>72</v>
      </c>
      <c r="O28" s="296"/>
      <c r="P28" s="41" t="s">
        <v>72</v>
      </c>
      <c r="Q28" s="296"/>
      <c r="R28" s="41" t="s">
        <v>72</v>
      </c>
      <c r="S28" s="296"/>
      <c r="T28" s="41" t="s">
        <v>72</v>
      </c>
      <c r="U28" s="296"/>
      <c r="V28" s="43" t="s">
        <v>72</v>
      </c>
      <c r="W28" s="42">
        <f t="shared" si="6"/>
        <v>0</v>
      </c>
      <c r="X28" s="1218" t="e">
        <f t="shared" ref="X28:X35" si="7">W28/$X$11</f>
        <v>#DIV/0!</v>
      </c>
      <c r="Y28" s="475"/>
      <c r="Z28" s="541"/>
      <c r="AA28" s="194"/>
      <c r="AB28" s="6"/>
      <c r="AC28" s="33" t="s">
        <v>92</v>
      </c>
      <c r="AD28" s="33"/>
      <c r="AE28" s="33"/>
      <c r="AF28" s="57">
        <f>SUM(AH28:AK28)</f>
        <v>0</v>
      </c>
      <c r="AG28" s="33"/>
      <c r="AH28" s="33">
        <v>0</v>
      </c>
      <c r="AI28" s="33"/>
      <c r="AJ28" s="294">
        <f>ROUND(IF('FEE CALCS'!B5=0,0, IF('FEE CALCS'!B5&gt;2000000,6250+(0.001*('FEE CALCS'!B5-2000000)),IF('FEE CALCS'!B5&lt;2000000,2500+(0.0025*('FEE CALCS'!B5-500000)),0))),-3)</f>
        <v>0</v>
      </c>
      <c r="AK28" s="33">
        <v>0</v>
      </c>
      <c r="AL28" s="12"/>
      <c r="AN28" s="33" t="s">
        <v>92</v>
      </c>
      <c r="AO28" s="33"/>
      <c r="AP28" s="33"/>
      <c r="AQ28" s="57">
        <f>SUM(AS28:AV28)</f>
        <v>0</v>
      </c>
      <c r="AR28" s="33"/>
      <c r="AS28" s="33">
        <v>0</v>
      </c>
      <c r="AT28" s="33"/>
      <c r="AU28" s="294">
        <f>ROUND(IF('FEE CALCS'!J5=0,0, IF('FEE CALCS'!J5&gt;2000000,6250+(0.001*('FEE CALCS'!J5-2000000)),IF('FEE CALCS'!J5&lt;2000000,2500+(0.0025*('FEE CALCS'!J5-500000)),0))),-3)</f>
        <v>0</v>
      </c>
      <c r="AV28" s="33">
        <v>0</v>
      </c>
      <c r="AW28" s="63"/>
      <c r="AX28" s="6"/>
      <c r="AY28" s="33" t="s">
        <v>92</v>
      </c>
      <c r="AZ28" s="33"/>
      <c r="BA28" s="33"/>
      <c r="BB28" s="57">
        <f>SUM(BD28:BG28)</f>
        <v>0</v>
      </c>
      <c r="BC28" s="33"/>
      <c r="BD28" s="33">
        <v>0</v>
      </c>
      <c r="BE28" s="33"/>
      <c r="BF28" s="294">
        <f>ROUND(IF('FEE CALCS'!R5=0,0,IF('FEE CALCS'!R5&gt;2000000,6250+(0.001*('FEE CALCS'!R5-2000000)),IF('FEE CALCS'!R5&lt;2000000,2500+(0.0025*('FEE CALCS'!R5-500000)),0))),-3)</f>
        <v>0</v>
      </c>
      <c r="BG28" s="33">
        <v>0</v>
      </c>
      <c r="BH28" s="63"/>
      <c r="BI28" s="6"/>
      <c r="BJ28" s="33" t="s">
        <v>92</v>
      </c>
      <c r="BK28" s="33"/>
      <c r="BL28" s="33"/>
      <c r="BM28" s="57">
        <f>SUM(BO28:BR28)</f>
        <v>0</v>
      </c>
      <c r="BN28" s="33"/>
      <c r="BO28" s="33">
        <v>0</v>
      </c>
      <c r="BP28" s="33"/>
      <c r="BQ28" s="294">
        <f>ROUND(IF('FEE CALCS'!Z5=0,0,IF('FEE CALCS'!Z5&gt;2000000,6250+(0.001*('FEE CALCS'!Z5-2000000)),IF('FEE CALCS'!Z5&lt;2000000,2500+(0.0025*('FEE CALCS'!Z5-500000)),0))),-3)</f>
        <v>0</v>
      </c>
      <c r="BR28" s="33">
        <v>0</v>
      </c>
      <c r="BS28" s="63"/>
    </row>
    <row r="29" spans="1:71" ht="11.45" customHeight="1">
      <c r="A29" s="34"/>
      <c r="B29" s="31" t="s">
        <v>51</v>
      </c>
      <c r="C29" s="31" t="s">
        <v>93</v>
      </c>
      <c r="E29" s="31"/>
      <c r="F29" s="31"/>
      <c r="G29" s="31"/>
      <c r="H29" s="31"/>
      <c r="I29" s="31"/>
      <c r="J29" s="31"/>
      <c r="K29" s="31"/>
      <c r="L29" s="31"/>
      <c r="M29" s="31"/>
      <c r="N29" s="41" t="s">
        <v>72</v>
      </c>
      <c r="O29" s="296"/>
      <c r="P29" s="41" t="s">
        <v>72</v>
      </c>
      <c r="Q29" s="296"/>
      <c r="R29" s="41" t="s">
        <v>72</v>
      </c>
      <c r="S29" s="296"/>
      <c r="T29" s="41" t="s">
        <v>72</v>
      </c>
      <c r="U29" s="296"/>
      <c r="V29" s="43" t="s">
        <v>72</v>
      </c>
      <c r="W29" s="42">
        <f t="shared" si="6"/>
        <v>0</v>
      </c>
      <c r="X29" s="1218" t="e">
        <f t="shared" si="7"/>
        <v>#DIV/0!</v>
      </c>
      <c r="Y29" s="475"/>
      <c r="Z29" s="541"/>
      <c r="AA29" s="476"/>
      <c r="AB29" s="6" t="s">
        <v>16</v>
      </c>
      <c r="AC29" s="33" t="s">
        <v>94</v>
      </c>
      <c r="AD29" s="33"/>
      <c r="AE29" s="33"/>
      <c r="AF29" s="57">
        <f>SUM(AH29:AK29)</f>
        <v>0</v>
      </c>
      <c r="AG29" s="33"/>
      <c r="AH29" s="33">
        <v>0</v>
      </c>
      <c r="AI29" s="33"/>
      <c r="AJ29" s="294">
        <f>IF('FEE CALCS'!B5=0,0, 2000)</f>
        <v>0</v>
      </c>
      <c r="AK29" s="33">
        <f>IF('FEE CALCS'!B5=0,0, 8000)</f>
        <v>0</v>
      </c>
      <c r="AL29" s="12"/>
      <c r="AN29" s="12" t="s">
        <v>94</v>
      </c>
      <c r="AO29" s="12"/>
      <c r="AP29" s="12"/>
      <c r="AQ29" s="13">
        <f>SUM(AS29:AV29)</f>
        <v>0</v>
      </c>
      <c r="AR29" s="12"/>
      <c r="AS29" s="12">
        <v>0</v>
      </c>
      <c r="AT29" s="12"/>
      <c r="AU29" s="294">
        <f>IF('FEE CALCS'!J5=0,0,2000)</f>
        <v>0</v>
      </c>
      <c r="AV29" s="12">
        <f>IF('FEE CALCS'!J5=0,0,8000)</f>
        <v>0</v>
      </c>
      <c r="AW29" s="63"/>
      <c r="AX29" s="6"/>
      <c r="AY29" s="12" t="s">
        <v>94</v>
      </c>
      <c r="AZ29" s="12"/>
      <c r="BA29" s="12"/>
      <c r="BB29" s="13">
        <f>SUM(BD29:BG29)</f>
        <v>0</v>
      </c>
      <c r="BC29" s="12"/>
      <c r="BD29" s="12">
        <v>0</v>
      </c>
      <c r="BE29" s="12"/>
      <c r="BF29" s="294">
        <f>IF('FEE CALCS'!R5=0,0,2000)</f>
        <v>0</v>
      </c>
      <c r="BG29" s="12">
        <f>IF('FEE CALCS'!R5=0,0,8000)</f>
        <v>0</v>
      </c>
      <c r="BH29" s="63"/>
      <c r="BI29" s="6"/>
      <c r="BJ29" s="12" t="s">
        <v>94</v>
      </c>
      <c r="BK29" s="12"/>
      <c r="BL29" s="12"/>
      <c r="BM29" s="13">
        <f>SUM(BO29:BR29)</f>
        <v>0</v>
      </c>
      <c r="BN29" s="12"/>
      <c r="BO29" s="12">
        <v>0</v>
      </c>
      <c r="BP29" s="12"/>
      <c r="BQ29" s="294">
        <f>IF('FEE CALCS'!Z5=0,0,2000)</f>
        <v>0</v>
      </c>
      <c r="BR29" s="12">
        <f>IF('FEE CALCS'!Z5=0,0,8000)</f>
        <v>0</v>
      </c>
      <c r="BS29" s="63"/>
    </row>
    <row r="30" spans="1:71" ht="12.95" customHeight="1">
      <c r="A30" s="34"/>
      <c r="B30" s="31" t="s">
        <v>95</v>
      </c>
      <c r="C30" s="31" t="s">
        <v>96</v>
      </c>
      <c r="E30" s="31"/>
      <c r="F30" s="31"/>
      <c r="G30" s="31"/>
      <c r="H30" s="31"/>
      <c r="I30" s="31"/>
      <c r="J30" s="31"/>
      <c r="K30" s="31"/>
      <c r="L30" s="31"/>
      <c r="M30" s="31"/>
      <c r="N30" s="43" t="s">
        <v>72</v>
      </c>
      <c r="O30" s="296"/>
      <c r="P30" s="43" t="s">
        <v>72</v>
      </c>
      <c r="Q30" s="296"/>
      <c r="R30" s="43" t="s">
        <v>72</v>
      </c>
      <c r="S30" s="296"/>
      <c r="T30" s="43" t="s">
        <v>72</v>
      </c>
      <c r="U30" s="296"/>
      <c r="V30" s="43" t="s">
        <v>72</v>
      </c>
      <c r="W30" s="42">
        <f t="shared" si="6"/>
        <v>0</v>
      </c>
      <c r="X30" s="1218" t="e">
        <f t="shared" si="7"/>
        <v>#DIV/0!</v>
      </c>
      <c r="Y30" s="542"/>
      <c r="Z30" s="544"/>
      <c r="AA30" s="194"/>
      <c r="AB30" s="6"/>
      <c r="AC30" s="33" t="s">
        <v>97</v>
      </c>
      <c r="AD30" s="33"/>
      <c r="AE30" s="66"/>
      <c r="AF30" s="57">
        <f>SUM(AH30:AK30)</f>
        <v>0</v>
      </c>
      <c r="AG30" s="57"/>
      <c r="AH30" s="33">
        <v>0</v>
      </c>
      <c r="AI30" s="33"/>
      <c r="AJ30" s="67">
        <f>+ROUND(0.012*('FEE CALCS'!B36+'FEE CALCS'!B40),-3)</f>
        <v>0</v>
      </c>
      <c r="AK30" s="57">
        <v>0</v>
      </c>
      <c r="AL30" s="12"/>
      <c r="AN30" s="33" t="s">
        <v>97</v>
      </c>
      <c r="AO30" s="33"/>
      <c r="AP30" s="66"/>
      <c r="AQ30" s="57">
        <f>SUM(AS30:AV30)</f>
        <v>0</v>
      </c>
      <c r="AR30" s="57"/>
      <c r="AS30" s="683">
        <v>0</v>
      </c>
      <c r="AT30" s="33"/>
      <c r="AU30" s="57">
        <f>+ROUND(0.012*('FEE CALCS'!J36+'FEE CALCS'!J40),-3)</f>
        <v>0</v>
      </c>
      <c r="AV30" s="57">
        <v>0</v>
      </c>
      <c r="AW30" s="26"/>
      <c r="AX30" s="6"/>
      <c r="AY30" s="33" t="s">
        <v>97</v>
      </c>
      <c r="AZ30" s="33"/>
      <c r="BA30" s="66"/>
      <c r="BB30" s="57">
        <f>SUM(BD30:BG30)</f>
        <v>0</v>
      </c>
      <c r="BC30" s="57"/>
      <c r="BD30" s="683">
        <v>0</v>
      </c>
      <c r="BE30" s="33"/>
      <c r="BF30" s="57">
        <f>+ROUND(0.012*('FEE CALCS'!R36+'FEE CALCS'!R40),-3)</f>
        <v>0</v>
      </c>
      <c r="BG30" s="57">
        <v>0</v>
      </c>
      <c r="BH30" s="26"/>
      <c r="BI30" s="6"/>
      <c r="BJ30" s="33" t="s">
        <v>97</v>
      </c>
      <c r="BK30" s="33"/>
      <c r="BL30" s="66"/>
      <c r="BM30" s="57">
        <f>SUM(BO30:BR30)</f>
        <v>0</v>
      </c>
      <c r="BN30" s="57"/>
      <c r="BO30" s="683">
        <v>0</v>
      </c>
      <c r="BP30" s="33"/>
      <c r="BQ30" s="57">
        <f>+ROUND(0.012*('FEE CALCS'!Z36+'FEE CALCS'!Z40),-3)</f>
        <v>0</v>
      </c>
      <c r="BR30" s="57">
        <v>0</v>
      </c>
      <c r="BS30" s="26"/>
    </row>
    <row r="31" spans="1:71" ht="12.95" customHeight="1">
      <c r="A31" s="34"/>
      <c r="B31" s="52" t="s">
        <v>98</v>
      </c>
      <c r="C31" s="52" t="s">
        <v>99</v>
      </c>
      <c r="D31" s="24"/>
      <c r="E31" s="15"/>
      <c r="F31" s="31"/>
      <c r="G31" s="31"/>
      <c r="H31" s="31"/>
      <c r="I31" s="31"/>
      <c r="J31" s="31"/>
      <c r="K31" s="31"/>
      <c r="L31" s="31"/>
      <c r="M31" s="31"/>
      <c r="N31" s="43" t="s">
        <v>72</v>
      </c>
      <c r="O31" s="296"/>
      <c r="P31" s="59" t="s">
        <v>72</v>
      </c>
      <c r="Q31" s="296"/>
      <c r="R31" s="59" t="s">
        <v>72</v>
      </c>
      <c r="S31" s="296"/>
      <c r="T31" s="59" t="s">
        <v>72</v>
      </c>
      <c r="U31" s="296"/>
      <c r="V31" s="43" t="s">
        <v>72</v>
      </c>
      <c r="W31" s="42">
        <f t="shared" si="6"/>
        <v>0</v>
      </c>
      <c r="X31" s="1218" t="e">
        <f t="shared" si="7"/>
        <v>#DIV/0!</v>
      </c>
      <c r="Y31" s="543"/>
      <c r="Z31" s="545"/>
      <c r="AA31" s="194"/>
      <c r="AB31" s="6"/>
      <c r="AC31" s="33" t="s">
        <v>100</v>
      </c>
      <c r="AD31" s="33"/>
      <c r="AE31" s="66"/>
      <c r="AF31" s="57" t="e">
        <f>ROUND(IF('FEE CALCS'!$B$5&lt;1,0,(IF(('FEE CALCS'!$B$12)&lt;10000,500,IF(('FEE CALCS'!$B$12)&lt;25000,('FEE CALCS'!$B$12)*0.05,IF(('FEE CALCS'!$B$12)&lt;100000,1250+((('FEE CALCS'!$B$12)-25000)*0.03),IF(('FEE CALCS'!$B$12)&lt;500000,3500+((('FEE CALCS'!$B$12)-100000)*0.02),11500+((('FEE CALCS'!$B$12)-500000)*0.01)))))))*IF(OR($D$10="DESIGN-BUILD",$D$10="COLLABORATIVE DESIGN-BUILD"),1.1,1)*(('FEE CALCS'!$B$5)/$W$38),-3)</f>
        <v>#DIV/0!</v>
      </c>
      <c r="AG31" s="57"/>
      <c r="AH31" s="57" t="e">
        <f>+AF31*0.5</f>
        <v>#DIV/0!</v>
      </c>
      <c r="AI31" s="33"/>
      <c r="AJ31" s="57" t="e">
        <f>+AF31*0.5</f>
        <v>#DIV/0!</v>
      </c>
      <c r="AK31" s="57">
        <v>0</v>
      </c>
      <c r="AL31" s="12"/>
      <c r="AN31" s="33" t="s">
        <v>100</v>
      </c>
      <c r="AO31" s="33"/>
      <c r="AP31" s="66"/>
      <c r="AQ31" s="57" t="e">
        <f>ROUND(IF('FEE CALCS'!J5&lt;1,0,(IF(('FEE CALCS'!$J$12)&lt;10000,500,IF(('FEE CALCS'!$J$12)&lt;25000,('FEE CALCS'!$J$12)*0.05,IF(('FEE CALCS'!$J$12)&lt;100000,1250+((('FEE CALCS'!$J$12)-25000)*0.03),IF(('FEE CALCS'!$J$12)&lt;500000,3500+((('FEE CALCS'!$J$12)-100000)*0.02),11500+((('FEE CALCS'!$J$12)-500000)*0.01)))))))*IF(OR($D$10="DESIGN-BUILD",$D$10="COLLABORATIVE DESIGN-BUILD"),1.1,1)*(('FEE CALCS'!J5)/$W$38),-3)</f>
        <v>#DIV/0!</v>
      </c>
      <c r="AR31" s="57"/>
      <c r="AS31" s="57" t="e">
        <f>+AQ31*0.5</f>
        <v>#DIV/0!</v>
      </c>
      <c r="AT31" s="33"/>
      <c r="AU31" s="57" t="e">
        <f>+AQ31*0.5</f>
        <v>#DIV/0!</v>
      </c>
      <c r="AV31" s="57">
        <v>0</v>
      </c>
      <c r="AX31" s="6"/>
      <c r="AY31" s="33" t="s">
        <v>100</v>
      </c>
      <c r="AZ31" s="33"/>
      <c r="BA31" s="66"/>
      <c r="BB31" s="57" t="e">
        <f>ROUND(IF('FEE CALCS'!R5&lt;1,0,(IF(('FEE CALCS'!$R$12)&lt;10000,500,IF(('FEE CALCS'!$R$12)&lt;25000,('FEE CALCS'!$R$12)*0.05,IF(('FEE CALCS'!$R$12)&lt;100000,1250+((('FEE CALCS'!$R$12)-25000)*0.03),IF(('FEE CALCS'!$R$12)&lt;500000,3500+((('FEE CALCS'!$R$12)-100000)*0.02),11500+((('FEE CALCS'!$R$12)-500000)*0.01)))))))*IF(OR($D$10="DESIGN-BUILD",$D$10="COLLABORATIVE DESIGN-BUILD"),1.1,1)*(('FEE CALCS'!R5)/$W$38),-3)</f>
        <v>#DIV/0!</v>
      </c>
      <c r="BC31" s="57"/>
      <c r="BD31" s="57" t="e">
        <f>+BB31*0.5</f>
        <v>#DIV/0!</v>
      </c>
      <c r="BE31" s="33"/>
      <c r="BF31" s="57" t="e">
        <f>+BB31*0.5</f>
        <v>#DIV/0!</v>
      </c>
      <c r="BG31" s="57">
        <v>0</v>
      </c>
      <c r="BH31" s="16"/>
      <c r="BI31" s="6"/>
      <c r="BJ31" s="33" t="s">
        <v>100</v>
      </c>
      <c r="BK31" s="33"/>
      <c r="BL31" s="66"/>
      <c r="BM31" s="57" t="e">
        <f>ROUND(IF('FEE CALCS'!Z5&lt;1,0,(IF(('FEE CALCS'!$Z$12)&lt;10000,500,IF(('FEE CALCS'!$Z$12)&lt;25000,('FEE CALCS'!$Z$12)*0.05,IF(('FEE CALCS'!$Z$12)&lt;100000,1250+((('FEE CALCS'!$Z$12)-25000)*0.03),IF(('FEE CALCS'!$Z$12)&lt;500000,3500+((('FEE CALCS'!$Z$12)-100000)*0.02),11500+((('FEE CALCS'!$Z$12)-500000)*0.01)))))))*IF(OR($D$10="DESIGN-BUILD",$D$10="COLLABORATIVE DESIGN-BUILD"),1.1,1)*(('FEE CALCS'!Z5)/$W$38),-3)</f>
        <v>#DIV/0!</v>
      </c>
      <c r="BN31" s="57"/>
      <c r="BO31" s="57" t="e">
        <f>+BM31*0.5</f>
        <v>#DIV/0!</v>
      </c>
      <c r="BP31" s="33"/>
      <c r="BQ31" s="57" t="e">
        <f>+BM31*0.5</f>
        <v>#DIV/0!</v>
      </c>
      <c r="BR31" s="57">
        <v>0</v>
      </c>
      <c r="BS31" s="16"/>
    </row>
    <row r="32" spans="1:71" ht="12.95" customHeight="1">
      <c r="A32" s="34"/>
      <c r="B32" s="52" t="s">
        <v>101</v>
      </c>
      <c r="C32" s="52" t="s">
        <v>102</v>
      </c>
      <c r="D32" s="15"/>
      <c r="E32" s="15"/>
      <c r="F32" s="15"/>
      <c r="G32" s="15"/>
      <c r="H32" s="15"/>
      <c r="I32" s="15"/>
      <c r="J32" s="15"/>
      <c r="K32" s="15"/>
      <c r="L32" s="15"/>
      <c r="M32" s="15"/>
      <c r="N32" s="43" t="s">
        <v>72</v>
      </c>
      <c r="O32" s="296"/>
      <c r="P32" s="59" t="s">
        <v>72</v>
      </c>
      <c r="Q32" s="296"/>
      <c r="R32" s="59" t="s">
        <v>72</v>
      </c>
      <c r="S32" s="296"/>
      <c r="T32" s="59" t="s">
        <v>72</v>
      </c>
      <c r="U32" s="296"/>
      <c r="V32" s="43" t="s">
        <v>72</v>
      </c>
      <c r="W32" s="42">
        <f t="shared" si="6"/>
        <v>0</v>
      </c>
      <c r="X32" s="1218" t="e">
        <f t="shared" si="7"/>
        <v>#DIV/0!</v>
      </c>
      <c r="Y32" s="475"/>
      <c r="Z32" s="541"/>
      <c r="AA32" s="476"/>
      <c r="AB32" s="6"/>
      <c r="AC32" s="12" t="s">
        <v>103</v>
      </c>
      <c r="AD32" s="12"/>
      <c r="AE32" s="12"/>
      <c r="AF32" s="13">
        <f>SUM(AH32:AK32)</f>
        <v>0</v>
      </c>
      <c r="AG32" s="12"/>
      <c r="AH32" s="1245">
        <v>0</v>
      </c>
      <c r="AI32" s="306"/>
      <c r="AJ32" s="1245">
        <v>0</v>
      </c>
      <c r="AK32" s="1245">
        <v>0</v>
      </c>
      <c r="AL32" s="12"/>
      <c r="AN32" s="12" t="s">
        <v>103</v>
      </c>
      <c r="AO32" s="12"/>
      <c r="AP32" s="12"/>
      <c r="AQ32" s="13">
        <f>SUM(AS32:AV32)</f>
        <v>0</v>
      </c>
      <c r="AR32" s="12"/>
      <c r="AS32" s="1245">
        <v>0</v>
      </c>
      <c r="AT32" s="306"/>
      <c r="AU32" s="1245">
        <v>0</v>
      </c>
      <c r="AV32" s="1245">
        <v>0</v>
      </c>
      <c r="AX32" s="6"/>
      <c r="AY32" s="12" t="s">
        <v>103</v>
      </c>
      <c r="AZ32" s="12"/>
      <c r="BA32" s="12"/>
      <c r="BB32" s="13">
        <f>SUM(BD32:BG32)</f>
        <v>0</v>
      </c>
      <c r="BC32" s="12"/>
      <c r="BD32" s="1245">
        <v>0</v>
      </c>
      <c r="BE32" s="306"/>
      <c r="BF32" s="1245">
        <v>0</v>
      </c>
      <c r="BG32" s="1245">
        <v>0</v>
      </c>
      <c r="BH32" s="16"/>
      <c r="BI32" s="6"/>
      <c r="BJ32" s="12" t="s">
        <v>103</v>
      </c>
      <c r="BK32" s="12"/>
      <c r="BL32" s="12"/>
      <c r="BM32" s="13">
        <f>SUM(BO32:BR32)</f>
        <v>0</v>
      </c>
      <c r="BN32" s="12"/>
      <c r="BO32" s="1245">
        <v>0</v>
      </c>
      <c r="BP32" s="306"/>
      <c r="BQ32" s="1245">
        <v>0</v>
      </c>
      <c r="BR32" s="1245">
        <v>0</v>
      </c>
      <c r="BS32" s="16"/>
    </row>
    <row r="33" spans="1:71" ht="12.95" customHeight="1">
      <c r="A33" s="34"/>
      <c r="B33" s="52" t="s">
        <v>104</v>
      </c>
      <c r="C33" s="52" t="s">
        <v>105</v>
      </c>
      <c r="D33" s="15"/>
      <c r="E33" s="15"/>
      <c r="F33" s="15"/>
      <c r="G33" s="15"/>
      <c r="H33" s="15"/>
      <c r="I33" s="15"/>
      <c r="J33" s="15"/>
      <c r="K33" s="15"/>
      <c r="L33" s="15"/>
      <c r="M33" s="15"/>
      <c r="N33" s="43" t="s">
        <v>72</v>
      </c>
      <c r="O33" s="1103"/>
      <c r="P33" s="59" t="s">
        <v>72</v>
      </c>
      <c r="Q33" s="1103"/>
      <c r="R33" s="59" t="s">
        <v>72</v>
      </c>
      <c r="S33" s="1103"/>
      <c r="T33" s="59" t="s">
        <v>72</v>
      </c>
      <c r="U33" s="1103"/>
      <c r="V33" s="59" t="s">
        <v>72</v>
      </c>
      <c r="W33" s="42">
        <f t="shared" si="6"/>
        <v>0</v>
      </c>
      <c r="X33" s="1218" t="e">
        <f t="shared" si="7"/>
        <v>#DIV/0!</v>
      </c>
      <c r="Y33" s="475"/>
      <c r="Z33" s="541"/>
      <c r="AA33" s="194"/>
      <c r="AB33" s="6"/>
      <c r="AL33" s="12"/>
      <c r="AN33" s="12"/>
      <c r="AO33" s="12"/>
      <c r="AP33" s="12"/>
      <c r="AQ33" s="12"/>
      <c r="AR33" s="12"/>
      <c r="AS33" s="12"/>
      <c r="AT33" s="12"/>
      <c r="AU33" s="12"/>
      <c r="AV33" s="12"/>
      <c r="AX33" s="6"/>
      <c r="AY33" s="12"/>
      <c r="AZ33" s="12"/>
      <c r="BA33" s="12"/>
      <c r="BB33" s="12"/>
      <c r="BC33" s="12"/>
      <c r="BD33" s="12"/>
      <c r="BE33" s="12"/>
      <c r="BF33" s="12"/>
      <c r="BG33" s="12"/>
      <c r="BH33" s="16"/>
      <c r="BI33" s="6"/>
      <c r="BJ33" s="12"/>
      <c r="BK33" s="12"/>
      <c r="BL33" s="12"/>
      <c r="BM33" s="12"/>
      <c r="BN33" s="12"/>
      <c r="BO33" s="12"/>
      <c r="BP33" s="12"/>
      <c r="BQ33" s="12"/>
      <c r="BR33" s="12"/>
      <c r="BS33" s="16"/>
    </row>
    <row r="34" spans="1:71" ht="12.95" customHeight="1">
      <c r="A34" s="91" t="s">
        <v>106</v>
      </c>
      <c r="B34" s="31" t="s">
        <v>107</v>
      </c>
      <c r="C34" s="12"/>
      <c r="D34" s="31"/>
      <c r="E34" s="31"/>
      <c r="F34" s="31"/>
      <c r="G34" s="31"/>
      <c r="H34" s="31"/>
      <c r="I34" s="31"/>
      <c r="J34" s="31"/>
      <c r="K34" s="31"/>
      <c r="L34" s="31"/>
      <c r="M34" s="31"/>
      <c r="N34" s="43" t="s">
        <v>72</v>
      </c>
      <c r="O34" s="296">
        <f>SUM(O27:O33)</f>
        <v>0</v>
      </c>
      <c r="P34" s="67" t="s">
        <v>72</v>
      </c>
      <c r="Q34" s="296">
        <f>SUM(Q27:Q33)</f>
        <v>0</v>
      </c>
      <c r="R34" s="59" t="s">
        <v>72</v>
      </c>
      <c r="S34" s="296">
        <f>SUM(S27:S33)</f>
        <v>0</v>
      </c>
      <c r="T34" s="59" t="s">
        <v>72</v>
      </c>
      <c r="U34" s="296">
        <f>SUM(U27:U33)</f>
        <v>0</v>
      </c>
      <c r="V34" s="43" t="s">
        <v>72</v>
      </c>
      <c r="W34" s="42">
        <f t="shared" si="6"/>
        <v>0</v>
      </c>
      <c r="X34" s="1218" t="e">
        <f t="shared" si="7"/>
        <v>#DIV/0!</v>
      </c>
      <c r="Y34" s="475"/>
      <c r="Z34" s="541"/>
      <c r="AA34" s="194"/>
      <c r="AB34" s="6"/>
      <c r="AC34" s="29" t="s">
        <v>108</v>
      </c>
      <c r="AD34" s="12"/>
      <c r="AE34" s="12"/>
      <c r="AF34" s="12"/>
      <c r="AG34" s="12"/>
      <c r="AH34" s="12"/>
      <c r="AI34" s="12"/>
      <c r="AJ34" s="12"/>
      <c r="AK34" s="12"/>
      <c r="AL34" s="12"/>
      <c r="AN34" s="29" t="s">
        <v>108</v>
      </c>
      <c r="AO34" s="12"/>
      <c r="AP34" s="12"/>
      <c r="AQ34" s="12"/>
      <c r="AR34" s="12"/>
      <c r="AS34" s="12"/>
      <c r="AT34" s="12"/>
      <c r="AU34" s="12"/>
      <c r="AV34" s="12"/>
      <c r="AX34" s="6"/>
      <c r="AY34" s="29" t="s">
        <v>108</v>
      </c>
      <c r="AZ34" s="12"/>
      <c r="BA34" s="12"/>
      <c r="BB34" s="12"/>
      <c r="BC34" s="12"/>
      <c r="BD34" s="12"/>
      <c r="BE34" s="12"/>
      <c r="BF34" s="12"/>
      <c r="BG34" s="12"/>
      <c r="BH34" s="16"/>
      <c r="BI34" s="6"/>
      <c r="BJ34" s="29" t="s">
        <v>108</v>
      </c>
      <c r="BK34" s="12"/>
      <c r="BL34" s="12"/>
      <c r="BM34" s="12"/>
      <c r="BN34" s="12"/>
      <c r="BO34" s="12"/>
      <c r="BP34" s="12"/>
      <c r="BQ34" s="12"/>
      <c r="BR34" s="12"/>
      <c r="BS34" s="16"/>
    </row>
    <row r="35" spans="1:71" ht="12.95" customHeight="1">
      <c r="A35" s="91" t="s">
        <v>109</v>
      </c>
      <c r="B35" s="56" t="s">
        <v>110</v>
      </c>
      <c r="C35" s="31"/>
      <c r="E35" s="31"/>
      <c r="F35" s="31"/>
      <c r="G35" s="31"/>
      <c r="H35" s="31"/>
      <c r="I35" s="31"/>
      <c r="J35" s="31"/>
      <c r="K35" s="31"/>
      <c r="L35" s="31"/>
      <c r="M35" s="31"/>
      <c r="N35" s="43" t="s">
        <v>72</v>
      </c>
      <c r="O35" s="42"/>
      <c r="P35" s="43" t="s">
        <v>72</v>
      </c>
      <c r="Q35" s="42"/>
      <c r="R35" s="43" t="s">
        <v>72</v>
      </c>
      <c r="S35" s="42"/>
      <c r="T35" s="43" t="s">
        <v>72</v>
      </c>
      <c r="U35" s="42"/>
      <c r="V35" s="43" t="s">
        <v>72</v>
      </c>
      <c r="W35" s="42">
        <f t="shared" si="6"/>
        <v>0</v>
      </c>
      <c r="X35" s="1218" t="e">
        <f t="shared" si="7"/>
        <v>#DIV/0!</v>
      </c>
      <c r="Y35" s="475"/>
      <c r="Z35" s="541"/>
      <c r="AA35" s="194"/>
      <c r="AB35" s="6"/>
      <c r="AC35" s="12" t="s">
        <v>111</v>
      </c>
      <c r="AF35" s="13">
        <f t="shared" ref="AF35:AF43" si="8">SUM(AH35:AK35)</f>
        <v>0</v>
      </c>
      <c r="AH35" s="13">
        <f>ROUND(IF(O40=0,0, 600),-3)</f>
        <v>0</v>
      </c>
      <c r="AJ35" s="13">
        <f>ROUND(IF($X$11&lt;50000,IF(O40&gt;0,1250,0),IF(O40&gt;0,$X$11*0.025,0)),-3)</f>
        <v>0</v>
      </c>
      <c r="AK35" s="13">
        <f>ROUND(IF($X11&lt;50000,IF(O40&gt;0,500,0),IF(O40&gt;0,$X11*0.1,0)),-3)</f>
        <v>0</v>
      </c>
      <c r="AL35" s="12"/>
      <c r="AN35" s="12" t="s">
        <v>111</v>
      </c>
      <c r="AO35" s="12"/>
      <c r="AP35" s="39"/>
      <c r="AQ35" s="13">
        <f>SUM(AS35:AV35)</f>
        <v>0</v>
      </c>
      <c r="AR35" s="12"/>
      <c r="AS35" s="13">
        <f>ROUND(IF(Q40=0,0, 600),-3)</f>
        <v>0</v>
      </c>
      <c r="AT35" s="13"/>
      <c r="AU35" s="13">
        <f>ROUND(IF($X$11&lt;50000,IF(Q40&gt;0,1250,0),IF(Q40&gt;0,$X$11*0.025,0)),-3)</f>
        <v>0</v>
      </c>
      <c r="AV35" s="13">
        <f>ROUND(IF($X11&lt;50000,IF(Q40&gt;0,500,0),IF(Q40&gt;0,$X11*0.1,0)),-3)</f>
        <v>0</v>
      </c>
      <c r="AX35" s="6"/>
      <c r="AY35" s="12" t="s">
        <v>111</v>
      </c>
      <c r="AZ35" s="12"/>
      <c r="BA35" s="39"/>
      <c r="BB35" s="13">
        <f>SUM(BD35:BG35)</f>
        <v>0</v>
      </c>
      <c r="BC35" s="12"/>
      <c r="BD35" s="13">
        <f>ROUND(IF(S40=0,0, 600),-3)</f>
        <v>0</v>
      </c>
      <c r="BE35" s="13"/>
      <c r="BF35" s="13">
        <f>ROUND(IF($X$11&lt;50000,IF(S40&gt;0,1250,0),IF(S40&gt;0,$X$11*0.025,0)),-3)</f>
        <v>0</v>
      </c>
      <c r="BG35" s="13">
        <f>ROUND(IF($X11&lt;50000,IF(S40&gt;0,500,0),IF(S40&gt;0,$X11*0.1,0)),-3)</f>
        <v>0</v>
      </c>
      <c r="BH35" s="16"/>
      <c r="BI35" s="6"/>
      <c r="BJ35" s="12" t="s">
        <v>111</v>
      </c>
      <c r="BK35" s="12"/>
      <c r="BL35" s="39"/>
      <c r="BM35" s="13">
        <f>SUM(BO35:BR35)</f>
        <v>0</v>
      </c>
      <c r="BN35" s="12"/>
      <c r="BO35" s="13">
        <f>ROUND(IF(U40=0,0, 600),-3)</f>
        <v>0</v>
      </c>
      <c r="BP35" s="13"/>
      <c r="BQ35" s="13">
        <f>ROUND(IF($X$11&lt;50000,IF(U40&gt;0,1250,0),IF(U40&gt;0,$X$11*0.025,0)),-3)</f>
        <v>0</v>
      </c>
      <c r="BR35" s="13">
        <f>ROUND(IF($X11&lt;50000,IF(U40&gt;0,500,0),IF(U40&gt;0,$X11*0.1,0)),-3)</f>
        <v>0</v>
      </c>
      <c r="BS35" s="16"/>
    </row>
    <row r="36" spans="1:71" ht="12.95" customHeight="1">
      <c r="A36" s="91" t="s">
        <v>112</v>
      </c>
      <c r="B36" s="52" t="s">
        <v>113</v>
      </c>
      <c r="C36" s="52"/>
      <c r="D36" s="52"/>
      <c r="E36" s="52"/>
      <c r="F36" s="52"/>
      <c r="G36" s="52"/>
      <c r="H36" s="52"/>
      <c r="I36" s="52"/>
      <c r="J36" s="52"/>
      <c r="K36" s="52"/>
      <c r="L36" s="52"/>
      <c r="M36" s="52"/>
      <c r="N36" s="59" t="s">
        <v>72</v>
      </c>
      <c r="O36" s="42">
        <f>O34+O35</f>
        <v>0</v>
      </c>
      <c r="P36" s="43" t="s">
        <v>72</v>
      </c>
      <c r="Q36" s="42">
        <f>Q34+Q35</f>
        <v>0</v>
      </c>
      <c r="R36" s="43" t="s">
        <v>72</v>
      </c>
      <c r="S36" s="42">
        <f>S34+S35</f>
        <v>0</v>
      </c>
      <c r="T36" s="43" t="s">
        <v>72</v>
      </c>
      <c r="U36" s="42">
        <f>U34+U35</f>
        <v>0</v>
      </c>
      <c r="V36" s="43" t="s">
        <v>72</v>
      </c>
      <c r="W36" s="42">
        <f t="shared" ref="W36:W39" si="9">O36+Q36+S36+U36</f>
        <v>0</v>
      </c>
      <c r="X36" s="290" t="e">
        <f>AA43</f>
        <v>#DIV/0!</v>
      </c>
      <c r="Y36" s="475"/>
      <c r="Z36" s="541"/>
      <c r="AA36" s="194"/>
      <c r="AB36" s="6"/>
      <c r="AC36" s="12" t="s">
        <v>114</v>
      </c>
      <c r="AF36" s="13">
        <f t="shared" si="8"/>
        <v>0</v>
      </c>
      <c r="AH36" s="690">
        <v>0</v>
      </c>
      <c r="AI36" s="686"/>
      <c r="AJ36" s="694">
        <v>0</v>
      </c>
      <c r="AK36" s="694">
        <v>0</v>
      </c>
      <c r="AL36" s="12"/>
      <c r="AN36" s="12" t="s">
        <v>114</v>
      </c>
      <c r="AO36" s="12"/>
      <c r="AP36" s="39"/>
      <c r="AQ36" s="13">
        <f t="shared" ref="AQ36:AQ43" si="10">SUM(AS36:AV36)</f>
        <v>0</v>
      </c>
      <c r="AR36" s="12"/>
      <c r="AS36" s="694">
        <v>0</v>
      </c>
      <c r="AT36" s="686"/>
      <c r="AU36" s="694">
        <v>0</v>
      </c>
      <c r="AV36" s="694">
        <v>0</v>
      </c>
      <c r="AX36" s="6"/>
      <c r="AY36" s="12" t="s">
        <v>114</v>
      </c>
      <c r="AZ36" s="12"/>
      <c r="BA36" s="39"/>
      <c r="BB36" s="13">
        <f t="shared" ref="BB36:BB43" si="11">SUM(BD36:BG36)</f>
        <v>0</v>
      </c>
      <c r="BC36" s="12"/>
      <c r="BD36" s="694">
        <v>0</v>
      </c>
      <c r="BE36" s="686"/>
      <c r="BF36" s="694">
        <v>0</v>
      </c>
      <c r="BG36" s="694">
        <v>0</v>
      </c>
      <c r="BH36" s="16"/>
      <c r="BI36" s="6"/>
      <c r="BJ36" s="12" t="s">
        <v>114</v>
      </c>
      <c r="BK36" s="12"/>
      <c r="BL36" s="39"/>
      <c r="BM36" s="13">
        <f t="shared" ref="BM36:BM43" si="12">SUM(BO36:BR36)</f>
        <v>0</v>
      </c>
      <c r="BN36" s="12"/>
      <c r="BO36" s="694">
        <v>0</v>
      </c>
      <c r="BP36" s="686"/>
      <c r="BQ36" s="694">
        <v>0</v>
      </c>
      <c r="BR36" s="694">
        <v>0</v>
      </c>
      <c r="BS36" s="16"/>
    </row>
    <row r="37" spans="1:71" ht="12.95" customHeight="1">
      <c r="A37" s="91" t="s">
        <v>115</v>
      </c>
      <c r="B37" s="45" t="s">
        <v>116</v>
      </c>
      <c r="C37" s="15"/>
      <c r="D37" s="15"/>
      <c r="E37" s="15"/>
      <c r="F37" s="15"/>
      <c r="G37" s="15"/>
      <c r="H37" s="15"/>
      <c r="I37" s="15"/>
      <c r="J37" s="15"/>
      <c r="K37" s="15"/>
      <c r="L37" s="15"/>
      <c r="M37" s="15"/>
      <c r="N37" s="38" t="s">
        <v>72</v>
      </c>
      <c r="O37" s="911">
        <f>+REFERENCE!G6</f>
        <v>0</v>
      </c>
      <c r="P37" s="38" t="s">
        <v>72</v>
      </c>
      <c r="Q37" s="911">
        <f>+REFERENCE!H6</f>
        <v>0</v>
      </c>
      <c r="R37" s="38" t="s">
        <v>72</v>
      </c>
      <c r="S37" s="911">
        <f>+REFERENCE!I6</f>
        <v>0</v>
      </c>
      <c r="T37" s="38" t="s">
        <v>72</v>
      </c>
      <c r="U37" s="911">
        <f>+REFERENCE!J6</f>
        <v>0</v>
      </c>
      <c r="V37" s="43" t="s">
        <v>72</v>
      </c>
      <c r="W37" s="36">
        <f t="shared" si="9"/>
        <v>0</v>
      </c>
      <c r="X37" s="1205" t="s">
        <v>117</v>
      </c>
      <c r="Y37" s="475"/>
      <c r="Z37" s="541"/>
      <c r="AA37" s="536"/>
      <c r="AB37" s="6"/>
      <c r="AC37" s="33" t="s">
        <v>118</v>
      </c>
      <c r="AD37" s="33"/>
      <c r="AE37" s="66"/>
      <c r="AF37" s="13">
        <f t="shared" si="8"/>
        <v>0</v>
      </c>
      <c r="AG37" s="12"/>
      <c r="AH37" s="690">
        <v>0</v>
      </c>
      <c r="AI37" s="686"/>
      <c r="AJ37" s="694">
        <v>0</v>
      </c>
      <c r="AK37" s="694">
        <v>0</v>
      </c>
      <c r="AL37" s="12"/>
      <c r="AN37" s="12" t="s">
        <v>118</v>
      </c>
      <c r="AO37" s="33"/>
      <c r="AP37" s="66"/>
      <c r="AQ37" s="13">
        <f t="shared" si="10"/>
        <v>0</v>
      </c>
      <c r="AR37" s="12"/>
      <c r="AS37" s="694">
        <v>0</v>
      </c>
      <c r="AT37" s="686"/>
      <c r="AU37" s="694">
        <v>0</v>
      </c>
      <c r="AV37" s="694">
        <v>0</v>
      </c>
      <c r="AX37" s="6"/>
      <c r="AY37" s="12" t="s">
        <v>118</v>
      </c>
      <c r="AZ37" s="33"/>
      <c r="BA37" s="66"/>
      <c r="BB37" s="13">
        <f t="shared" si="11"/>
        <v>0</v>
      </c>
      <c r="BC37" s="12"/>
      <c r="BD37" s="694">
        <v>0</v>
      </c>
      <c r="BE37" s="686"/>
      <c r="BF37" s="694">
        <v>0</v>
      </c>
      <c r="BG37" s="694">
        <v>0</v>
      </c>
      <c r="BH37" s="16"/>
      <c r="BI37" s="6"/>
      <c r="BJ37" s="12" t="s">
        <v>118</v>
      </c>
      <c r="BK37" s="33"/>
      <c r="BL37" s="66"/>
      <c r="BM37" s="13">
        <f t="shared" si="12"/>
        <v>0</v>
      </c>
      <c r="BN37" s="12"/>
      <c r="BO37" s="694">
        <v>0</v>
      </c>
      <c r="BP37" s="686"/>
      <c r="BQ37" s="694">
        <v>0</v>
      </c>
      <c r="BR37" s="694">
        <v>0</v>
      </c>
      <c r="BS37" s="16"/>
    </row>
    <row r="38" spans="1:71" ht="12.95" customHeight="1">
      <c r="A38" s="91" t="s">
        <v>119</v>
      </c>
      <c r="B38" s="52" t="s">
        <v>120</v>
      </c>
      <c r="C38" s="52"/>
      <c r="D38" s="52"/>
      <c r="E38" s="52"/>
      <c r="F38" s="52"/>
      <c r="G38" s="52"/>
      <c r="H38" s="52"/>
      <c r="I38" s="52"/>
      <c r="J38" s="52"/>
      <c r="K38" s="52"/>
      <c r="L38" s="52"/>
      <c r="M38" s="52"/>
      <c r="N38" s="59" t="s">
        <v>72</v>
      </c>
      <c r="O38" s="912">
        <f>+O37+O36</f>
        <v>0</v>
      </c>
      <c r="P38" s="59" t="s">
        <v>72</v>
      </c>
      <c r="Q38" s="912">
        <f>+Q37+Q36</f>
        <v>0</v>
      </c>
      <c r="R38" s="59" t="s">
        <v>72</v>
      </c>
      <c r="S38" s="912">
        <f>+S37+S36</f>
        <v>0</v>
      </c>
      <c r="T38" s="59" t="s">
        <v>72</v>
      </c>
      <c r="U38" s="912">
        <f>+U37+U36</f>
        <v>0</v>
      </c>
      <c r="V38" s="43" t="s">
        <v>72</v>
      </c>
      <c r="W38" s="42">
        <f>O38+Q38+S38+U38</f>
        <v>0</v>
      </c>
      <c r="X38" s="171"/>
      <c r="Y38" s="219"/>
      <c r="Z38" s="219"/>
      <c r="AA38" s="536"/>
      <c r="AB38" s="6"/>
      <c r="AC38" s="12" t="s">
        <v>121</v>
      </c>
      <c r="AD38" s="12"/>
      <c r="AE38" s="39"/>
      <c r="AF38" s="13">
        <f t="shared" si="8"/>
        <v>0</v>
      </c>
      <c r="AG38" s="12"/>
      <c r="AH38" s="694">
        <v>0</v>
      </c>
      <c r="AI38" s="694">
        <v>0</v>
      </c>
      <c r="AJ38" s="694">
        <v>0</v>
      </c>
      <c r="AK38" s="694">
        <v>0</v>
      </c>
      <c r="AL38" s="12"/>
      <c r="AN38" s="12" t="s">
        <v>122</v>
      </c>
      <c r="AO38" s="12"/>
      <c r="AP38" s="39"/>
      <c r="AQ38" s="13">
        <f t="shared" si="10"/>
        <v>0</v>
      </c>
      <c r="AR38" s="12"/>
      <c r="AS38" s="694">
        <v>0</v>
      </c>
      <c r="AT38" s="686"/>
      <c r="AU38" s="694">
        <v>0</v>
      </c>
      <c r="AV38" s="694">
        <v>0</v>
      </c>
      <c r="AX38" s="6"/>
      <c r="AY38" s="12" t="s">
        <v>122</v>
      </c>
      <c r="AZ38" s="12"/>
      <c r="BA38" s="39"/>
      <c r="BB38" s="13">
        <f t="shared" si="11"/>
        <v>0</v>
      </c>
      <c r="BC38" s="12"/>
      <c r="BD38" s="694">
        <v>0</v>
      </c>
      <c r="BE38" s="686"/>
      <c r="BF38" s="694">
        <v>0</v>
      </c>
      <c r="BG38" s="694">
        <v>0</v>
      </c>
      <c r="BH38" s="16"/>
      <c r="BI38" s="6"/>
      <c r="BJ38" s="12" t="s">
        <v>122</v>
      </c>
      <c r="BK38" s="12"/>
      <c r="BL38" s="39"/>
      <c r="BM38" s="13">
        <f t="shared" si="12"/>
        <v>0</v>
      </c>
      <c r="BN38" s="12"/>
      <c r="BO38" s="694">
        <v>0</v>
      </c>
      <c r="BP38" s="686"/>
      <c r="BQ38" s="694">
        <v>0</v>
      </c>
      <c r="BR38" s="694">
        <v>0</v>
      </c>
      <c r="BS38" s="16"/>
    </row>
    <row r="39" spans="1:71" ht="12.95" customHeight="1">
      <c r="A39" s="172" t="s">
        <v>123</v>
      </c>
      <c r="B39" s="45" t="s">
        <v>124</v>
      </c>
      <c r="C39" s="45" t="str">
        <f>IF($D$10=+REFERENCE!B28,"GENERAL CONDITIONS………..….……………..…………....…..",IF($D$10=+REFERENCE!B29,"GENERAL CONDITIONS………..….……………..…………....…..",IF($D$10=+REFERENCE!B30,"GENERAL CONDITIONS………..….……………..…………....…..",IF($D$10=+REFERENCE!B31,"GENERAL CONDITIONS………..….……………..…………....…..",IF($D$10=+REFERENCE!B32,"GENERAL CONDITIONS………..….……………..…………....…..","GENERAL CONDITIONS………..….……………..…………....…..")))))</f>
        <v>GENERAL CONDITIONS………..….……………..…………....…..</v>
      </c>
      <c r="D39" s="45"/>
      <c r="E39" s="45"/>
      <c r="F39" s="45"/>
      <c r="G39" s="45"/>
      <c r="H39" s="12"/>
      <c r="I39" s="12"/>
      <c r="J39" s="45"/>
      <c r="K39" s="45"/>
      <c r="L39" s="45"/>
      <c r="M39" s="217" t="e">
        <f>+W39/W38</f>
        <v>#DIV/0!</v>
      </c>
      <c r="N39" s="67" t="s">
        <v>72</v>
      </c>
      <c r="O39" s="1246">
        <f>O38*0.15</f>
        <v>0</v>
      </c>
      <c r="P39" s="67" t="s">
        <v>72</v>
      </c>
      <c r="Q39" s="1246">
        <f>Q38*0.15</f>
        <v>0</v>
      </c>
      <c r="R39" s="67" t="s">
        <v>72</v>
      </c>
      <c r="S39" s="1246">
        <f>S38*0.15</f>
        <v>0</v>
      </c>
      <c r="T39" s="67" t="s">
        <v>72</v>
      </c>
      <c r="U39" s="1246">
        <f>U38*0.15</f>
        <v>0</v>
      </c>
      <c r="V39" s="59" t="s">
        <v>72</v>
      </c>
      <c r="W39" s="295">
        <f t="shared" si="9"/>
        <v>0</v>
      </c>
      <c r="X39" s="171"/>
      <c r="Y39" s="219"/>
      <c r="Z39" s="219"/>
      <c r="AA39" s="539"/>
      <c r="AB39" s="6"/>
      <c r="AC39" s="12" t="s">
        <v>125</v>
      </c>
      <c r="AD39" s="12"/>
      <c r="AE39" s="39"/>
      <c r="AF39" s="13">
        <f t="shared" si="8"/>
        <v>0</v>
      </c>
      <c r="AG39" s="13"/>
      <c r="AH39" s="694">
        <v>0</v>
      </c>
      <c r="AI39" s="694">
        <v>0</v>
      </c>
      <c r="AJ39" s="694">
        <v>0</v>
      </c>
      <c r="AK39" s="694">
        <v>0</v>
      </c>
      <c r="AL39" s="13"/>
      <c r="AM39" s="46"/>
      <c r="AN39" s="12" t="s">
        <v>125</v>
      </c>
      <c r="AO39" s="12"/>
      <c r="AP39" s="39"/>
      <c r="AQ39" s="13">
        <f t="shared" si="10"/>
        <v>0</v>
      </c>
      <c r="AR39" s="13"/>
      <c r="AS39" s="694">
        <v>0</v>
      </c>
      <c r="AT39" s="686"/>
      <c r="AU39" s="694">
        <v>0</v>
      </c>
      <c r="AV39" s="694">
        <v>0</v>
      </c>
      <c r="AW39" s="54"/>
      <c r="AX39" s="46"/>
      <c r="AY39" s="12" t="s">
        <v>125</v>
      </c>
      <c r="AZ39" s="12"/>
      <c r="BA39" s="39"/>
      <c r="BB39" s="13">
        <f t="shared" si="11"/>
        <v>0</v>
      </c>
      <c r="BC39" s="13"/>
      <c r="BD39" s="694">
        <v>0</v>
      </c>
      <c r="BE39" s="686"/>
      <c r="BF39" s="694">
        <v>0</v>
      </c>
      <c r="BG39" s="694">
        <v>0</v>
      </c>
      <c r="BH39" s="54"/>
      <c r="BI39" s="46"/>
      <c r="BJ39" s="12" t="s">
        <v>125</v>
      </c>
      <c r="BK39" s="12"/>
      <c r="BL39" s="39"/>
      <c r="BM39" s="13">
        <f t="shared" si="12"/>
        <v>0</v>
      </c>
      <c r="BN39" s="13"/>
      <c r="BO39" s="694">
        <v>0</v>
      </c>
      <c r="BP39" s="686"/>
      <c r="BQ39" s="694">
        <v>0</v>
      </c>
      <c r="BR39" s="694">
        <v>0</v>
      </c>
      <c r="BS39" s="54"/>
    </row>
    <row r="40" spans="1:71" ht="12.95" customHeight="1">
      <c r="A40" s="91" t="s">
        <v>126</v>
      </c>
      <c r="B40" s="31" t="str">
        <f>IF($D$10="DESIGN-BID-BUILD","TOTAL CONSTRUCTION..…….…………………...…………………....…..",IF($D$10="SMALL PROJECT","TOTAL CONSTRUCTION..…….…………………...…………………....…..", "TOTAL GMP............................................................................................."))</f>
        <v>TOTAL GMP.............................................................................................</v>
      </c>
      <c r="C40" s="52"/>
      <c r="D40" s="31"/>
      <c r="E40" s="31"/>
      <c r="F40" s="31"/>
      <c r="G40" s="31"/>
      <c r="H40" s="31"/>
      <c r="I40" s="31"/>
      <c r="J40" s="31"/>
      <c r="K40" s="31"/>
      <c r="L40" s="31"/>
      <c r="M40" s="217"/>
      <c r="N40" s="59" t="s">
        <v>72</v>
      </c>
      <c r="O40" s="42">
        <f>SUM(O38:O39)</f>
        <v>0</v>
      </c>
      <c r="P40" s="59" t="s">
        <v>72</v>
      </c>
      <c r="Q40" s="42">
        <f>SUM(Q38:Q39)</f>
        <v>0</v>
      </c>
      <c r="R40" s="59" t="s">
        <v>72</v>
      </c>
      <c r="S40" s="42">
        <f>SUM(S38:S39)</f>
        <v>0</v>
      </c>
      <c r="T40" s="42">
        <f>SUM(T32:T37)</f>
        <v>0</v>
      </c>
      <c r="U40" s="42">
        <f>SUM(U38:U39)</f>
        <v>0</v>
      </c>
      <c r="V40" s="43" t="s">
        <v>72</v>
      </c>
      <c r="W40" s="42">
        <f>SUM(W38:W39)</f>
        <v>0</v>
      </c>
      <c r="X40" s="171" t="e">
        <f>W40/X11</f>
        <v>#DIV/0!</v>
      </c>
      <c r="Y40" s="475"/>
      <c r="Z40" s="1131" t="s">
        <v>127</v>
      </c>
      <c r="AA40" s="1132" t="s">
        <v>128</v>
      </c>
      <c r="AB40" s="6"/>
      <c r="AC40" s="12" t="s">
        <v>129</v>
      </c>
      <c r="AD40" s="12"/>
      <c r="AE40" s="39"/>
      <c r="AF40" s="13">
        <f t="shared" si="8"/>
        <v>0</v>
      </c>
      <c r="AG40" s="12"/>
      <c r="AH40" s="694">
        <v>0</v>
      </c>
      <c r="AI40" s="686"/>
      <c r="AJ40" s="694">
        <v>0</v>
      </c>
      <c r="AK40" s="694">
        <v>0</v>
      </c>
      <c r="AL40" s="13"/>
      <c r="AM40" s="46"/>
      <c r="AN40" s="12" t="s">
        <v>129</v>
      </c>
      <c r="AO40" s="12"/>
      <c r="AP40" s="39"/>
      <c r="AQ40" s="13">
        <f t="shared" si="10"/>
        <v>0</v>
      </c>
      <c r="AR40" s="12"/>
      <c r="AS40" s="694">
        <v>0</v>
      </c>
      <c r="AT40" s="686"/>
      <c r="AU40" s="694">
        <v>0</v>
      </c>
      <c r="AV40" s="694">
        <v>0</v>
      </c>
      <c r="AW40" s="63"/>
      <c r="AX40" s="46"/>
      <c r="AY40" s="12" t="s">
        <v>129</v>
      </c>
      <c r="AZ40" s="12"/>
      <c r="BA40" s="39"/>
      <c r="BB40" s="13">
        <f t="shared" si="11"/>
        <v>0</v>
      </c>
      <c r="BC40" s="12"/>
      <c r="BD40" s="694">
        <v>0</v>
      </c>
      <c r="BE40" s="686"/>
      <c r="BF40" s="694">
        <v>0</v>
      </c>
      <c r="BG40" s="694">
        <v>0</v>
      </c>
      <c r="BH40" s="63"/>
      <c r="BI40" s="46"/>
      <c r="BJ40" s="12" t="s">
        <v>129</v>
      </c>
      <c r="BK40" s="12"/>
      <c r="BL40" s="39"/>
      <c r="BM40" s="13">
        <f t="shared" si="12"/>
        <v>0</v>
      </c>
      <c r="BN40" s="12"/>
      <c r="BO40" s="694">
        <v>0</v>
      </c>
      <c r="BP40" s="686"/>
      <c r="BQ40" s="694">
        <v>0</v>
      </c>
      <c r="BR40" s="694">
        <v>0</v>
      </c>
      <c r="BS40" s="63"/>
    </row>
    <row r="41" spans="1:71" ht="12.95" customHeight="1">
      <c r="A41" s="1203"/>
      <c r="B41" s="1204"/>
      <c r="C41" s="1199"/>
      <c r="D41" s="1199"/>
      <c r="E41" s="1199"/>
      <c r="F41" s="1199"/>
      <c r="G41" s="1199"/>
      <c r="H41" s="1199"/>
      <c r="I41" s="1199"/>
      <c r="J41" s="1199"/>
      <c r="K41" s="1199"/>
      <c r="L41" s="1199"/>
      <c r="M41" s="1200"/>
      <c r="N41" s="1201"/>
      <c r="O41" s="1225"/>
      <c r="P41" s="1201"/>
      <c r="Q41" s="1225"/>
      <c r="R41" s="1201"/>
      <c r="S41" s="1225"/>
      <c r="T41" s="1201"/>
      <c r="U41" s="1225"/>
      <c r="V41" s="1202"/>
      <c r="W41" s="1226"/>
      <c r="X41" s="171"/>
      <c r="Y41" s="219" t="s">
        <v>130</v>
      </c>
      <c r="Z41" s="1129" t="e">
        <f>+W34/(W38)</f>
        <v>#DIV/0!</v>
      </c>
      <c r="AA41" s="218"/>
      <c r="AB41" s="6"/>
      <c r="AC41" s="12" t="s">
        <v>131</v>
      </c>
      <c r="AD41" s="12"/>
      <c r="AE41" s="12"/>
      <c r="AF41" s="13">
        <f t="shared" si="8"/>
        <v>0</v>
      </c>
      <c r="AG41" s="12"/>
      <c r="AH41" s="13">
        <f>IF(+O36&gt;10000000,25000,0)</f>
        <v>0</v>
      </c>
      <c r="AI41" s="695">
        <v>0</v>
      </c>
      <c r="AJ41" s="13">
        <v>0</v>
      </c>
      <c r="AK41" s="13">
        <v>0</v>
      </c>
      <c r="AL41" s="13"/>
      <c r="AM41" s="46"/>
      <c r="AN41" s="12" t="s">
        <v>131</v>
      </c>
      <c r="AO41" s="12"/>
      <c r="AP41" s="12"/>
      <c r="AQ41" s="13">
        <f t="shared" si="10"/>
        <v>0</v>
      </c>
      <c r="AR41" s="12"/>
      <c r="AS41" s="13">
        <f>IF(+U36&gt;10000000,25000,0)</f>
        <v>0</v>
      </c>
      <c r="AT41" s="12"/>
      <c r="AU41" s="13">
        <v>0</v>
      </c>
      <c r="AV41" s="13">
        <v>0</v>
      </c>
      <c r="AW41" s="63"/>
      <c r="AX41" s="46"/>
      <c r="AY41" s="12" t="s">
        <v>131</v>
      </c>
      <c r="AZ41" s="12"/>
      <c r="BA41" s="12"/>
      <c r="BB41" s="13">
        <f t="shared" si="11"/>
        <v>0</v>
      </c>
      <c r="BC41" s="12"/>
      <c r="BD41" s="13">
        <f>IF(+AF37&gt;10000000,25000,0)</f>
        <v>0</v>
      </c>
      <c r="BE41" s="12"/>
      <c r="BF41" s="13">
        <v>0</v>
      </c>
      <c r="BG41" s="13">
        <v>0</v>
      </c>
      <c r="BH41" s="63"/>
      <c r="BI41" s="46"/>
      <c r="BJ41" s="12" t="s">
        <v>131</v>
      </c>
      <c r="BK41" s="12"/>
      <c r="BL41" s="12"/>
      <c r="BM41" s="13">
        <f t="shared" si="12"/>
        <v>0</v>
      </c>
      <c r="BN41" s="12"/>
      <c r="BO41" s="13">
        <f>IF(+AQ37&gt;10000000,25000,0)</f>
        <v>0</v>
      </c>
      <c r="BP41" s="12"/>
      <c r="BQ41" s="13">
        <v>0</v>
      </c>
      <c r="BR41" s="13">
        <v>0</v>
      </c>
      <c r="BS41" s="63"/>
    </row>
    <row r="42" spans="1:71" ht="12.95" customHeight="1">
      <c r="A42" s="91" t="s">
        <v>132</v>
      </c>
      <c r="B42" s="31" t="s">
        <v>133</v>
      </c>
      <c r="C42" s="31"/>
      <c r="D42" s="31"/>
      <c r="E42" s="31"/>
      <c r="F42" s="31"/>
      <c r="G42" s="31"/>
      <c r="H42" s="31"/>
      <c r="I42" s="31"/>
      <c r="J42" s="15"/>
      <c r="K42" s="15"/>
      <c r="L42" s="15"/>
      <c r="M42" s="15"/>
      <c r="N42" s="60" t="s">
        <v>16</v>
      </c>
      <c r="O42" s="1198" t="str">
        <f>O17</f>
        <v>DEVELOPER</v>
      </c>
      <c r="P42" s="12"/>
      <c r="Q42" s="1198" t="str">
        <f>Q17</f>
        <v>CAMPUS</v>
      </c>
      <c r="R42" s="35"/>
      <c r="S42" s="1198" t="str">
        <f>S17</f>
        <v>AUXILIARY</v>
      </c>
      <c r="T42" s="35"/>
      <c r="U42" s="1198" t="str">
        <f>U17</f>
        <v>OTHER</v>
      </c>
      <c r="V42" s="35"/>
      <c r="W42" s="15"/>
      <c r="X42" s="171"/>
      <c r="Y42" s="219" t="s">
        <v>134</v>
      </c>
      <c r="Z42" s="541" t="e">
        <f>Z41*(W39)</f>
        <v>#DIV/0!</v>
      </c>
      <c r="AA42" s="536" t="e">
        <f>SUM(Z42/(X11))</f>
        <v>#DIV/0!</v>
      </c>
      <c r="AB42" s="6"/>
      <c r="AC42" s="12" t="s">
        <v>135</v>
      </c>
      <c r="AD42" s="12"/>
      <c r="AE42" s="39"/>
      <c r="AF42" s="13">
        <f t="shared" si="8"/>
        <v>0</v>
      </c>
      <c r="AG42" s="12"/>
      <c r="AH42" s="694">
        <v>0</v>
      </c>
      <c r="AI42" s="686"/>
      <c r="AJ42" s="694">
        <v>0</v>
      </c>
      <c r="AK42" s="694">
        <v>0</v>
      </c>
      <c r="AL42" s="13"/>
      <c r="AM42" s="46"/>
      <c r="AN42" s="12" t="s">
        <v>135</v>
      </c>
      <c r="AO42" s="12"/>
      <c r="AP42" s="39"/>
      <c r="AQ42" s="13">
        <f t="shared" si="10"/>
        <v>0</v>
      </c>
      <c r="AR42" s="12"/>
      <c r="AS42" s="694">
        <v>0</v>
      </c>
      <c r="AT42" s="686"/>
      <c r="AU42" s="694">
        <v>0</v>
      </c>
      <c r="AV42" s="694">
        <v>0</v>
      </c>
      <c r="AW42" s="64"/>
      <c r="AX42" s="46"/>
      <c r="AY42" s="12" t="s">
        <v>135</v>
      </c>
      <c r="AZ42" s="12"/>
      <c r="BA42" s="39"/>
      <c r="BB42" s="13">
        <f t="shared" si="11"/>
        <v>0</v>
      </c>
      <c r="BC42" s="12"/>
      <c r="BD42" s="694">
        <v>0</v>
      </c>
      <c r="BE42" s="686"/>
      <c r="BF42" s="694">
        <v>0</v>
      </c>
      <c r="BG42" s="694">
        <v>0</v>
      </c>
      <c r="BH42" s="64"/>
      <c r="BI42" s="46"/>
      <c r="BJ42" s="12" t="s">
        <v>135</v>
      </c>
      <c r="BK42" s="12"/>
      <c r="BL42" s="39"/>
      <c r="BM42" s="13">
        <f t="shared" si="12"/>
        <v>0</v>
      </c>
      <c r="BN42" s="12"/>
      <c r="BO42" s="694">
        <v>0</v>
      </c>
      <c r="BP42" s="686"/>
      <c r="BQ42" s="694">
        <v>0</v>
      </c>
      <c r="BR42" s="694">
        <v>0</v>
      </c>
      <c r="BS42" s="64"/>
    </row>
    <row r="43" spans="1:71" ht="12.95" customHeight="1">
      <c r="A43" s="34"/>
      <c r="B43" s="62" t="s">
        <v>136</v>
      </c>
      <c r="C43" s="45" t="str">
        <f>IF($D$10=+REFERENCE!B29,"A/E &amp; CM Services During PW…...…………………………………………………………..................................................................................",IF($D$10=+REFERENCE!B31,"Design Services For Design Phase (Phase 1) …...…………………………………………………………..................................................................................","A/E Services During PW…...………………………………………………………….................................................................................."))</f>
        <v>A/E Services During PW…...…………………………………………………………..................................................................................</v>
      </c>
      <c r="D43" s="45"/>
      <c r="E43" s="45"/>
      <c r="F43" s="45"/>
      <c r="G43" s="45"/>
      <c r="H43" s="45"/>
      <c r="I43" s="45"/>
      <c r="J43" s="45"/>
      <c r="K43" s="45"/>
      <c r="L43" s="45"/>
      <c r="M43" s="1023" t="e">
        <f>+(Q43+O43+S43+U43)/$W$38</f>
        <v>#DIV/0!</v>
      </c>
      <c r="N43" s="38" t="s">
        <v>72</v>
      </c>
      <c r="O43" s="1227">
        <f>IF($D$10="COLLABORATIVE DESIGN-BUILD",AH12,AH14+AJ14)</f>
        <v>0</v>
      </c>
      <c r="P43" s="38" t="s">
        <v>72</v>
      </c>
      <c r="Q43" s="1228">
        <f>IF($D$10="COLLABORATIVE DESIGN-BUILD",AS12,AS14+AU14)</f>
        <v>0</v>
      </c>
      <c r="R43" s="38" t="s">
        <v>72</v>
      </c>
      <c r="S43" s="295">
        <f>IF($D$10="COLLABORATIVE DESIGN-BUILD",BD12,BD14+BF14)</f>
        <v>0</v>
      </c>
      <c r="T43" s="38" t="s">
        <v>72</v>
      </c>
      <c r="U43" s="295">
        <f>IF($D$10="COLLABORATIVE DESIGN-BUILD",BO12,BO14+BQ14)</f>
        <v>0</v>
      </c>
      <c r="V43" s="35"/>
      <c r="W43" s="15"/>
      <c r="X43" s="171"/>
      <c r="Y43" s="1128" t="s">
        <v>137</v>
      </c>
      <c r="Z43" s="544" t="e">
        <f>ROUND((+W34+Z42),-3)</f>
        <v>#DIV/0!</v>
      </c>
      <c r="AA43" s="536" t="e">
        <f>+Z43/$X$11</f>
        <v>#DIV/0!</v>
      </c>
      <c r="AB43" s="6"/>
      <c r="AC43" s="12" t="s">
        <v>138</v>
      </c>
      <c r="AD43" s="12"/>
      <c r="AE43" s="39"/>
      <c r="AF43" s="13">
        <f t="shared" si="8"/>
        <v>0</v>
      </c>
      <c r="AG43" s="12"/>
      <c r="AH43" s="694">
        <v>0</v>
      </c>
      <c r="AI43" s="686"/>
      <c r="AJ43" s="694">
        <v>0</v>
      </c>
      <c r="AK43" s="694">
        <v>0</v>
      </c>
      <c r="AL43" s="1265"/>
      <c r="AM43" s="46"/>
      <c r="AN43" s="12" t="s">
        <v>138</v>
      </c>
      <c r="AO43" s="12"/>
      <c r="AP43" s="39"/>
      <c r="AQ43" s="13">
        <f t="shared" si="10"/>
        <v>0</v>
      </c>
      <c r="AR43" s="12"/>
      <c r="AS43" s="694">
        <v>0</v>
      </c>
      <c r="AT43" s="686"/>
      <c r="AU43" s="694">
        <v>0</v>
      </c>
      <c r="AV43" s="694">
        <v>0</v>
      </c>
      <c r="AW43" s="64"/>
      <c r="AX43" s="46"/>
      <c r="AY43" s="12" t="s">
        <v>138</v>
      </c>
      <c r="AZ43" s="12"/>
      <c r="BA43" s="39"/>
      <c r="BB43" s="13">
        <f t="shared" si="11"/>
        <v>0</v>
      </c>
      <c r="BC43" s="12"/>
      <c r="BD43" s="694">
        <v>0</v>
      </c>
      <c r="BE43" s="686"/>
      <c r="BF43" s="694">
        <v>0</v>
      </c>
      <c r="BG43" s="694">
        <v>0</v>
      </c>
      <c r="BH43" s="64"/>
      <c r="BI43" s="46"/>
      <c r="BJ43" s="12" t="s">
        <v>138</v>
      </c>
      <c r="BK43" s="12"/>
      <c r="BL43" s="39"/>
      <c r="BM43" s="13">
        <f t="shared" si="12"/>
        <v>0</v>
      </c>
      <c r="BN43" s="12"/>
      <c r="BO43" s="694">
        <v>0</v>
      </c>
      <c r="BP43" s="686"/>
      <c r="BQ43" s="694">
        <v>0</v>
      </c>
      <c r="BR43" s="694">
        <v>0</v>
      </c>
      <c r="BS43" s="64"/>
    </row>
    <row r="44" spans="1:71" ht="12.95" customHeight="1">
      <c r="A44" s="34"/>
      <c r="B44" s="62" t="s">
        <v>139</v>
      </c>
      <c r="C44" s="45" t="str">
        <f>IF($D$10=+REFERENCE!B30,"DB (AE) Services During Construction…...…………………………………………………………..................................................................................",IF($D$10=+REFERENCE!B31,"Preconstruction Services For Design Phase (Phase 1)…...…………………………………………………………..................................................................................","A/E Services During Construction…...……………………………………………………….................................................................................."))</f>
        <v>DB (AE) Services During Construction…...…………………………………………………………..................................................................................</v>
      </c>
      <c r="D44" s="45"/>
      <c r="E44" s="45"/>
      <c r="F44" s="45"/>
      <c r="G44" s="45"/>
      <c r="H44" s="45"/>
      <c r="I44" s="45"/>
      <c r="J44" s="45"/>
      <c r="K44" s="45"/>
      <c r="L44" s="45"/>
      <c r="M44" s="1024" t="e">
        <f>+(O44)/$W$38</f>
        <v>#DIV/0!</v>
      </c>
      <c r="N44" s="38" t="s">
        <v>72</v>
      </c>
      <c r="O44" s="1229">
        <f>IF($D$10="COLLABORATIVE DESIGN-BUILD",AH13,AK14)</f>
        <v>0</v>
      </c>
      <c r="P44" s="38" t="s">
        <v>72</v>
      </c>
      <c r="Q44" s="295">
        <f>IF($D$10="COLLABORATIVE DESIGN-BUILD",AS13,AV14)</f>
        <v>0</v>
      </c>
      <c r="R44" s="38" t="s">
        <v>72</v>
      </c>
      <c r="S44" s="295">
        <f>IF($D$10="COLLABORATIVE DESIGN-BUILD",BD13,BG14)</f>
        <v>0</v>
      </c>
      <c r="T44" s="38" t="s">
        <v>72</v>
      </c>
      <c r="U44" s="295">
        <f>IF($D$10="COLLABORATIVE DESIGN-BUILD",BO13,BR14)</f>
        <v>0</v>
      </c>
      <c r="V44" s="35"/>
      <c r="W44" s="15"/>
      <c r="X44" s="54"/>
      <c r="Y44" s="1127"/>
      <c r="Z44" s="474"/>
      <c r="AA44" s="218"/>
      <c r="AB44" s="6"/>
      <c r="AC44" s="33" t="s">
        <v>140</v>
      </c>
      <c r="AD44" s="12"/>
      <c r="AE44" s="12"/>
      <c r="AF44" s="67" t="e">
        <f>ROUND(IF(W40&gt;90000001,(W40-90000000)*0.001+297000,IF(W40&gt;50000000,(W40-50000000)*0.0025+195000,IF(W40&gt;30000000,(W40-30000000)*0.003+135000,IF(W40&gt;10000000,(W40-10000000)*0.004+57000,IF(W40&gt;6000000,(W40-6000000)*0.005+37200,IF(W40&gt;2000000,(W40-2000000)*0.0055+15000,IF(W40&gt;400000,15000,0)))))))*((O40)/W40),-3)</f>
        <v>#DIV/0!</v>
      </c>
      <c r="AG44" s="57"/>
      <c r="AH44" s="294" t="e">
        <f>ROUND((AF44*0.1),0-3)</f>
        <v>#DIV/0!</v>
      </c>
      <c r="AI44" s="33"/>
      <c r="AJ44" s="294" t="e">
        <f>ROUND((AF44*0.25),0-3)</f>
        <v>#DIV/0!</v>
      </c>
      <c r="AK44" s="294" t="e">
        <f>AF44-AH44-AJ44</f>
        <v>#DIV/0!</v>
      </c>
      <c r="AL44" s="13"/>
      <c r="AM44" s="46"/>
      <c r="AN44" s="12" t="s">
        <v>140</v>
      </c>
      <c r="AO44" s="12"/>
      <c r="AP44" s="39"/>
      <c r="AQ44" s="67" t="e">
        <f>ROUND(IF(W40&gt;90000001,(W40-90000000)*0.001+297000,IF(W40&gt;50000000,(W40-50000000)*0.0025+195000,IF(W40&gt;30000000,(W40-30000000)*0.003+135000,IF(W40&gt;10000000,(W40-10000000)*0.004+57000,IF(W40&gt;6000000,(W40-6000000)*0.005+37200,IF(W40&gt;2000000,(W40-2000000)*0.0055+15000,IF(W40&gt;400000,15000,0)))))))*((Q40)/W40),-3)</f>
        <v>#DIV/0!</v>
      </c>
      <c r="AR44" s="57"/>
      <c r="AS44" s="294" t="e">
        <f>ROUND((AQ44*0.1),0-3)</f>
        <v>#DIV/0!</v>
      </c>
      <c r="AT44" s="57"/>
      <c r="AU44" s="699" t="e">
        <f>ROUND((AQ44*0.25),0-3)</f>
        <v>#DIV/0!</v>
      </c>
      <c r="AV44" s="67" t="e">
        <f>AQ44-AS44-AU44</f>
        <v>#DIV/0!</v>
      </c>
      <c r="AW44" s="64"/>
      <c r="AX44" s="46"/>
      <c r="AY44" s="12" t="s">
        <v>140</v>
      </c>
      <c r="AZ44" s="12"/>
      <c r="BA44" s="39"/>
      <c r="BB44" s="67" t="e">
        <f>ROUND(IF(W40&gt;90000001,(W40-90000000)*0.001+297000,IF(W40&gt;50000000,(W40-50000000)*0.0025+195000,IF(W40&gt;30000000,(W40-30000000)*0.003+135000,IF(W40&gt;10000000,(W40-10000000)*0.004+57000,IF(W40&gt;6000000,(W40-6000000)*0.005+37200,IF(W40&gt;2000000,(W40-2000000)*0.0055+15000,IF(W40&gt;400000,15000,0)))))))*((S40)/W40),-3)</f>
        <v>#DIV/0!</v>
      </c>
      <c r="BC44" s="57"/>
      <c r="BD44" s="294" t="e">
        <f>ROUND((BB44*0.1),0-3)</f>
        <v>#DIV/0!</v>
      </c>
      <c r="BE44" s="57"/>
      <c r="BF44" s="699" t="e">
        <f>ROUND((BB44*0.25),0-3)</f>
        <v>#DIV/0!</v>
      </c>
      <c r="BG44" s="67" t="e">
        <f>BB44-BD44-BF44</f>
        <v>#DIV/0!</v>
      </c>
      <c r="BH44" s="64"/>
      <c r="BI44" s="46"/>
      <c r="BJ44" s="12" t="s">
        <v>140</v>
      </c>
      <c r="BK44" s="12"/>
      <c r="BL44" s="39"/>
      <c r="BM44" s="67" t="e">
        <f>ROUND(IF(W40&gt;90000001,(W40-90000000)*0.001+297000,IF(W40&gt;50000000,(W40-50000000)*0.0025+195000,IF(W40&gt;30000000,(W40-30000000)*0.003+135000,IF(W40&gt;10000000,(W40-10000000)*0.004+57000,IF(W40&gt;6000000,(W40-6000000)*0.005+37200,IF(W40&gt;2000000,(W40-2000000)*0.0055+15000,IF(W40&gt;400000,15000,0)))))))*((U40)/W40),-3)</f>
        <v>#DIV/0!</v>
      </c>
      <c r="BN44" s="57"/>
      <c r="BO44" s="294" t="e">
        <f>ROUND((BM44*0.1),0-3)</f>
        <v>#DIV/0!</v>
      </c>
      <c r="BP44" s="57"/>
      <c r="BQ44" s="699" t="e">
        <f>ROUND((BM44*0.25),0-3)</f>
        <v>#DIV/0!</v>
      </c>
      <c r="BR44" s="67" t="e">
        <f>BM44-BO44-BQ44</f>
        <v>#DIV/0!</v>
      </c>
      <c r="BS44" s="64"/>
    </row>
    <row r="45" spans="1:71" ht="12.95" customHeight="1">
      <c r="A45" s="34"/>
      <c r="B45" s="62" t="s">
        <v>141</v>
      </c>
      <c r="C45" s="15" t="s">
        <v>142</v>
      </c>
      <c r="D45" s="15"/>
      <c r="E45" s="15"/>
      <c r="F45" s="15"/>
      <c r="G45" s="15"/>
      <c r="H45" s="15"/>
      <c r="I45" s="15"/>
      <c r="J45" s="15"/>
      <c r="K45" s="15"/>
      <c r="L45" s="15"/>
      <c r="M45" s="1024" t="e">
        <f>+W45/W40</f>
        <v>#DIV/0!</v>
      </c>
      <c r="N45" s="38" t="s">
        <v>72</v>
      </c>
      <c r="O45" s="295">
        <f>ROUND((O40)*0.07,-3)</f>
        <v>0</v>
      </c>
      <c r="P45" s="38" t="s">
        <v>72</v>
      </c>
      <c r="Q45" s="295">
        <f>ROUND((Q40)*0.07,-3)</f>
        <v>0</v>
      </c>
      <c r="R45" s="38" t="s">
        <v>72</v>
      </c>
      <c r="S45" s="295">
        <f>ROUND((S40)*0.07,-3)</f>
        <v>0</v>
      </c>
      <c r="T45" s="38" t="s">
        <v>72</v>
      </c>
      <c r="U45" s="295">
        <f>ROUND((U40)*0.07,-3)</f>
        <v>0</v>
      </c>
      <c r="V45" s="35" t="s">
        <v>72</v>
      </c>
      <c r="W45" s="58">
        <f t="shared" ref="W45:W46" si="13">SUM(O45:U45)</f>
        <v>0</v>
      </c>
      <c r="X45" s="54"/>
      <c r="Y45" s="474"/>
      <c r="Z45" s="1133" t="s">
        <v>143</v>
      </c>
      <c r="AA45" s="1130"/>
      <c r="AB45" s="6"/>
      <c r="AC45" s="12" t="s">
        <v>144</v>
      </c>
      <c r="AD45" s="12"/>
      <c r="AE45" s="12"/>
      <c r="AF45" s="13">
        <f>SUM(AH45:AK45)</f>
        <v>0</v>
      </c>
      <c r="AG45" s="12"/>
      <c r="AH45" s="13">
        <v>0</v>
      </c>
      <c r="AI45" s="12"/>
      <c r="AJ45" s="12">
        <v>0</v>
      </c>
      <c r="AK45" s="294">
        <f>IF('FEE CALCS'!B5=0,0, 10000)</f>
        <v>0</v>
      </c>
      <c r="AL45" s="13"/>
      <c r="AN45" s="12" t="s">
        <v>144</v>
      </c>
      <c r="AO45" s="12"/>
      <c r="AP45" s="12"/>
      <c r="AQ45" s="13">
        <f>SUM(AS45:AV45)</f>
        <v>0</v>
      </c>
      <c r="AR45" s="12"/>
      <c r="AS45" s="13">
        <v>0</v>
      </c>
      <c r="AT45" s="12"/>
      <c r="AU45" s="12">
        <v>0</v>
      </c>
      <c r="AV45" s="294">
        <f>IF('FEE CALCS'!J5=0,0, 10000)</f>
        <v>0</v>
      </c>
      <c r="AW45" s="65"/>
      <c r="AX45" s="6"/>
      <c r="AY45" s="12" t="s">
        <v>144</v>
      </c>
      <c r="AZ45" s="12"/>
      <c r="BA45" s="12"/>
      <c r="BB45" s="13">
        <f>SUM(BD45:BG45)</f>
        <v>0</v>
      </c>
      <c r="BC45" s="12"/>
      <c r="BD45" s="13">
        <v>0</v>
      </c>
      <c r="BE45" s="12"/>
      <c r="BF45" s="12">
        <v>0</v>
      </c>
      <c r="BG45" s="294">
        <f>IF('FEE CALCS'!R5=0,0, 10000)</f>
        <v>0</v>
      </c>
      <c r="BH45" s="65"/>
      <c r="BI45" s="6"/>
      <c r="BJ45" s="12" t="s">
        <v>144</v>
      </c>
      <c r="BK45" s="12"/>
      <c r="BL45" s="12"/>
      <c r="BM45" s="13">
        <f>SUM(BO45:BR45)</f>
        <v>0</v>
      </c>
      <c r="BN45" s="12"/>
      <c r="BO45" s="13">
        <v>0</v>
      </c>
      <c r="BP45" s="12"/>
      <c r="BQ45" s="12">
        <v>0</v>
      </c>
      <c r="BR45" s="294">
        <f>IF('FEE CALCS'!Z5=0,0, 10000)</f>
        <v>0</v>
      </c>
      <c r="BS45" s="65"/>
    </row>
    <row r="46" spans="1:71" ht="12.95" customHeight="1">
      <c r="A46" s="34"/>
      <c r="B46" s="62" t="s">
        <v>145</v>
      </c>
      <c r="C46" s="15" t="s">
        <v>146</v>
      </c>
      <c r="D46" s="15"/>
      <c r="E46" s="15"/>
      <c r="F46" s="15"/>
      <c r="G46" s="15"/>
      <c r="H46" s="15"/>
      <c r="I46" s="15"/>
      <c r="J46" s="15"/>
      <c r="K46" s="15"/>
      <c r="L46" s="15"/>
      <c r="M46" s="1024" t="e">
        <f>+(W46)/W40</f>
        <v>#DIV/0!</v>
      </c>
      <c r="N46" s="38" t="s">
        <v>72</v>
      </c>
      <c r="O46" s="1229">
        <f>IFERROR(ROUND((HLOOKUP($D$10,FEES_Method,10,FALSE)*O40),-3),0)</f>
        <v>0</v>
      </c>
      <c r="P46" s="38" t="s">
        <v>72</v>
      </c>
      <c r="Q46" s="1229">
        <f>IFERROR(ROUND((HLOOKUP($D$10,FEES_Method,10,FALSE)*Q40),-3),0)</f>
        <v>0</v>
      </c>
      <c r="R46" s="38" t="s">
        <v>72</v>
      </c>
      <c r="S46" s="1229">
        <f>IFERROR(ROUND((HLOOKUP($D$10,FEES_Method,10,FALSE)*S40),-3),0)</f>
        <v>0</v>
      </c>
      <c r="T46" s="38" t="s">
        <v>72</v>
      </c>
      <c r="U46" s="1229">
        <f>IFERROR(ROUND((HLOOKUP($D$10,FEES_Method,10,FALSE)*U40),-3),0)</f>
        <v>0</v>
      </c>
      <c r="V46" s="35" t="s">
        <v>72</v>
      </c>
      <c r="W46" s="58">
        <f t="shared" si="13"/>
        <v>0</v>
      </c>
      <c r="X46" s="171"/>
      <c r="Y46" s="219" t="s">
        <v>130</v>
      </c>
      <c r="Z46" s="475" t="e">
        <f>+W37/(W38)</f>
        <v>#DIV/0!</v>
      </c>
      <c r="AA46" s="540"/>
      <c r="AB46" s="6"/>
      <c r="AC46" s="12" t="s">
        <v>147</v>
      </c>
      <c r="AD46" s="12"/>
      <c r="AE46" s="12"/>
      <c r="AF46" s="13">
        <f>SUM(AH46:AK46)</f>
        <v>0</v>
      </c>
      <c r="AG46" s="13"/>
      <c r="AH46" s="13">
        <v>0</v>
      </c>
      <c r="AI46" s="12"/>
      <c r="AJ46" s="694">
        <v>0</v>
      </c>
      <c r="AK46" s="694">
        <v>0</v>
      </c>
      <c r="AL46" s="13"/>
      <c r="AN46" s="12" t="s">
        <v>147</v>
      </c>
      <c r="AO46" s="12"/>
      <c r="AP46" s="12"/>
      <c r="AQ46" s="38">
        <f>SUM(AS46:AV46)</f>
        <v>0</v>
      </c>
      <c r="AR46" s="13"/>
      <c r="AS46" s="13">
        <v>0</v>
      </c>
      <c r="AT46" s="12"/>
      <c r="AU46" s="700">
        <v>0</v>
      </c>
      <c r="AV46" s="694">
        <v>0</v>
      </c>
      <c r="AX46" s="6"/>
      <c r="AY46" s="12" t="s">
        <v>147</v>
      </c>
      <c r="AZ46" s="12"/>
      <c r="BA46" s="12"/>
      <c r="BB46" s="38">
        <f>SUM(BD46:BG46)</f>
        <v>0</v>
      </c>
      <c r="BC46" s="13"/>
      <c r="BD46" s="13">
        <v>0</v>
      </c>
      <c r="BE46" s="12"/>
      <c r="BF46" s="700">
        <v>0</v>
      </c>
      <c r="BG46" s="694">
        <v>0</v>
      </c>
      <c r="BH46" s="16"/>
      <c r="BI46" s="6"/>
      <c r="BJ46" s="12" t="s">
        <v>147</v>
      </c>
      <c r="BK46" s="12"/>
      <c r="BL46" s="12"/>
      <c r="BM46" s="38">
        <f>SUM(BO46:BR46)</f>
        <v>0</v>
      </c>
      <c r="BN46" s="13"/>
      <c r="BO46" s="13">
        <v>0</v>
      </c>
      <c r="BP46" s="12"/>
      <c r="BQ46" s="700">
        <v>0</v>
      </c>
      <c r="BR46" s="694">
        <v>0</v>
      </c>
      <c r="BS46" s="16"/>
    </row>
    <row r="47" spans="1:71" ht="12.95" customHeight="1">
      <c r="B47" s="62" t="s">
        <v>148</v>
      </c>
      <c r="C47" s="5" t="s">
        <v>149</v>
      </c>
      <c r="M47" s="1024" t="e">
        <f>W47/W40</f>
        <v>#DIV/0!</v>
      </c>
      <c r="N47" s="38" t="s">
        <v>72</v>
      </c>
      <c r="O47" s="295">
        <f>ROUND((O40*0.05),0-3)</f>
        <v>0</v>
      </c>
      <c r="P47" s="38" t="s">
        <v>72</v>
      </c>
      <c r="Q47" s="295">
        <f>ROUND((Q40*0.05),0-3)</f>
        <v>0</v>
      </c>
      <c r="R47" s="38" t="s">
        <v>72</v>
      </c>
      <c r="S47" s="295">
        <f>ROUND((S40*0.05),0-3)</f>
        <v>0</v>
      </c>
      <c r="T47" s="38" t="s">
        <v>72</v>
      </c>
      <c r="U47" s="295">
        <f>ROUND((U40*0.05),0-3)</f>
        <v>0</v>
      </c>
      <c r="V47" s="35" t="s">
        <v>72</v>
      </c>
      <c r="W47" s="58">
        <f>SUM(O47:U47)</f>
        <v>0</v>
      </c>
      <c r="X47" s="54"/>
      <c r="Y47" s="219" t="s">
        <v>134</v>
      </c>
      <c r="Z47" s="541" t="e">
        <f>Z46*(W39)</f>
        <v>#DIV/0!</v>
      </c>
      <c r="AA47" s="218"/>
      <c r="AB47" s="6"/>
      <c r="AC47" s="12" t="s">
        <v>150</v>
      </c>
      <c r="AD47" s="12"/>
      <c r="AE47" s="12"/>
      <c r="AF47" s="38" t="e">
        <f>SUM(AH47:AK47)</f>
        <v>#DIV/0!</v>
      </c>
      <c r="AG47" s="12"/>
      <c r="AH47" s="13">
        <v>0</v>
      </c>
      <c r="AI47" s="12"/>
      <c r="AJ47" s="142" t="e">
        <f>ROUND(IF($O$36=0,0,5000)*(($O$36)/$W$36),-3)</f>
        <v>#DIV/0!</v>
      </c>
      <c r="AK47" s="12">
        <f>ROUND(IF($O$36=0,0,((2150+(608*VLOOKUP($D$5,Campus_Stats,2))+(11*T13))*(($O$36)/$W$36))),-3)</f>
        <v>0</v>
      </c>
      <c r="AL47" s="13"/>
      <c r="AM47" s="46"/>
      <c r="AN47" s="12" t="s">
        <v>150</v>
      </c>
      <c r="AO47" s="12"/>
      <c r="AP47" s="12"/>
      <c r="AQ47" s="38" t="e">
        <f>SUM(AS47:AV47)</f>
        <v>#DIV/0!</v>
      </c>
      <c r="AR47" s="12"/>
      <c r="AS47" s="694">
        <v>0</v>
      </c>
      <c r="AT47" s="12"/>
      <c r="AU47" s="305" t="e">
        <f>ROUND(IF($Q$36=0,0,5000)*(($Q$36)/$W$36),-3)</f>
        <v>#DIV/0!</v>
      </c>
      <c r="AV47" s="12">
        <f>ROUND(IF($Q$36=0,0,((2150+(608*VLOOKUP($D$5,Campus_Stats,2))+(11*T13))*(($Q$36)/$W$36))),-3)</f>
        <v>0</v>
      </c>
      <c r="AW47" s="65"/>
      <c r="AX47" s="46"/>
      <c r="AY47" s="12" t="s">
        <v>150</v>
      </c>
      <c r="AZ47" s="12"/>
      <c r="BA47" s="12"/>
      <c r="BB47" s="38" t="e">
        <f>SUM(BD47:BG47)</f>
        <v>#DIV/0!</v>
      </c>
      <c r="BC47" s="12"/>
      <c r="BD47" s="694">
        <v>0</v>
      </c>
      <c r="BE47" s="12"/>
      <c r="BF47" s="305" t="e">
        <f>ROUND(IF($S$36=0,0,5000)*(($S$36)/$W$36),-3)</f>
        <v>#DIV/0!</v>
      </c>
      <c r="BG47" s="12">
        <f>ROUND(IF($S$36=0,0,((2150+(608*VLOOKUP($D$5,Campus_Stats,2))+(11*T13))*(($S$36)/$W$36))),-3)</f>
        <v>0</v>
      </c>
      <c r="BH47" s="65"/>
      <c r="BI47" s="46"/>
      <c r="BJ47" s="12" t="s">
        <v>150</v>
      </c>
      <c r="BK47" s="12"/>
      <c r="BL47" s="12"/>
      <c r="BM47" s="38" t="e">
        <f>SUM(BO47:BR47)</f>
        <v>#DIV/0!</v>
      </c>
      <c r="BN47" s="12"/>
      <c r="BO47" s="694">
        <v>0</v>
      </c>
      <c r="BP47" s="12"/>
      <c r="BQ47" s="305" t="e">
        <f>ROUND(IF($U$36=0,0,5000)*(($U$36)/$W$36),-3)</f>
        <v>#DIV/0!</v>
      </c>
      <c r="BR47" s="12">
        <f>ROUND(IF($U$36=0,0,((2150+(608*VLOOKUP($D$5,Campus_Stats,2))+(11*T13))*(($U$36)/$W$36))),-3)</f>
        <v>0</v>
      </c>
      <c r="BS47" s="65"/>
    </row>
    <row r="48" spans="1:71" ht="12.95" customHeight="1">
      <c r="A48" s="34"/>
      <c r="B48" s="62" t="s">
        <v>151</v>
      </c>
      <c r="C48" s="31" t="s">
        <v>152</v>
      </c>
      <c r="D48" s="15"/>
      <c r="E48" s="15"/>
      <c r="F48" s="15"/>
      <c r="G48" s="12"/>
      <c r="H48" s="15"/>
      <c r="I48" s="15"/>
      <c r="J48" s="15"/>
      <c r="K48" s="15"/>
      <c r="L48" s="15"/>
      <c r="M48" s="1025" t="e">
        <f>M43+M44+M45+M46+M47</f>
        <v>#DIV/0!</v>
      </c>
      <c r="N48" s="43" t="s">
        <v>72</v>
      </c>
      <c r="O48" s="168">
        <f>SUM(O43:O47)</f>
        <v>0</v>
      </c>
      <c r="P48" s="43" t="s">
        <v>72</v>
      </c>
      <c r="Q48" s="1236">
        <f>SUM(Q43:Q47)</f>
        <v>0</v>
      </c>
      <c r="R48" s="43" t="s">
        <v>72</v>
      </c>
      <c r="S48" s="296">
        <f>SUM(S43:S47)</f>
        <v>0</v>
      </c>
      <c r="T48" s="43" t="s">
        <v>72</v>
      </c>
      <c r="U48" s="296">
        <f>SUM(U43:U47)</f>
        <v>0</v>
      </c>
      <c r="V48" s="41" t="s">
        <v>72</v>
      </c>
      <c r="W48" s="42">
        <f>O48+Q48+S48+U48</f>
        <v>0</v>
      </c>
      <c r="X48" s="54"/>
      <c r="Y48" s="1223" t="s">
        <v>153</v>
      </c>
      <c r="Z48" s="544" t="e">
        <f>ROUND((+Z47+W35),-3)</f>
        <v>#DIV/0!</v>
      </c>
      <c r="AA48" s="536"/>
      <c r="AB48" s="6"/>
      <c r="AC48" s="33" t="s">
        <v>154</v>
      </c>
      <c r="AD48" s="12"/>
      <c r="AE48" s="39"/>
      <c r="AF48" s="13">
        <f>SUM(AH48:AK48)</f>
        <v>0</v>
      </c>
      <c r="AG48" s="13"/>
      <c r="AH48" s="67">
        <f>ROUND(+IF($D$10="DESIGN-BID-BUILD",0,IF($D$10="CM @ RISK",SUM((O40)*0.005),0)),-3)</f>
        <v>0</v>
      </c>
      <c r="AI48" s="33"/>
      <c r="AJ48" s="294"/>
      <c r="AK48" s="294"/>
      <c r="AL48" s="13"/>
      <c r="AM48" s="46"/>
      <c r="AN48" s="33" t="s">
        <v>154</v>
      </c>
      <c r="AO48" s="12"/>
      <c r="AP48" s="39"/>
      <c r="AQ48" s="13">
        <f>SUM(AS48:AV48)</f>
        <v>0</v>
      </c>
      <c r="AR48" s="13"/>
      <c r="AS48" s="67">
        <f>ROUND(+IF($D$10="DESIGN-BID-BUILD",0,IF($D$10="CM @ RISK",SUM((Q40)*0.005),0)),-3)</f>
        <v>0</v>
      </c>
      <c r="AT48" s="33"/>
      <c r="AU48" s="294"/>
      <c r="AV48" s="294"/>
      <c r="AW48" s="65"/>
      <c r="AX48" s="46"/>
      <c r="AY48" s="33" t="s">
        <v>154</v>
      </c>
      <c r="AZ48" s="12"/>
      <c r="BA48" s="39"/>
      <c r="BB48" s="13">
        <f>SUM(BD48:BG48)</f>
        <v>0</v>
      </c>
      <c r="BC48" s="13"/>
      <c r="BD48" s="67">
        <f>ROUND(+IF($D$10="DESIGN-BID-BUILD",0,IF($D$10="CM @ RISK",SUM((S40)*0.005),0)),-3)</f>
        <v>0</v>
      </c>
      <c r="BE48" s="33"/>
      <c r="BF48" s="294"/>
      <c r="BG48" s="294"/>
      <c r="BH48" s="65"/>
      <c r="BI48" s="46"/>
      <c r="BJ48" s="33" t="s">
        <v>154</v>
      </c>
      <c r="BK48" s="12"/>
      <c r="BL48" s="39"/>
      <c r="BM48" s="13">
        <f>SUM(BO48:BR48)</f>
        <v>0</v>
      </c>
      <c r="BN48" s="13"/>
      <c r="BO48" s="67">
        <f>ROUND(+IF($D$10="DESIGN-BID-BUILD",0,IF($D$10="CM @ RISK",SUM((U40)*0.005),0)),-3)</f>
        <v>0</v>
      </c>
      <c r="BP48" s="33"/>
      <c r="BQ48" s="294"/>
      <c r="BR48" s="294"/>
      <c r="BS48" s="65"/>
    </row>
    <row r="49" spans="1:71" ht="12.95" customHeight="1">
      <c r="A49" s="91" t="s">
        <v>155</v>
      </c>
      <c r="B49" s="111" t="s">
        <v>156</v>
      </c>
      <c r="C49" s="15"/>
      <c r="D49" s="15"/>
      <c r="E49" s="15"/>
      <c r="F49" s="15"/>
      <c r="G49" s="15"/>
      <c r="H49" s="15"/>
      <c r="I49" s="15"/>
      <c r="J49" s="15"/>
      <c r="K49" s="15"/>
      <c r="L49" s="15"/>
      <c r="M49" s="15"/>
      <c r="N49" s="43" t="s">
        <v>72</v>
      </c>
      <c r="O49" s="168">
        <f>ROUND((O40+O48),0-3)</f>
        <v>0</v>
      </c>
      <c r="P49" s="43" t="s">
        <v>72</v>
      </c>
      <c r="Q49" s="168">
        <f>ROUND((Q40+Q48),0-3)</f>
        <v>0</v>
      </c>
      <c r="R49" s="41" t="s">
        <v>72</v>
      </c>
      <c r="S49" s="168">
        <f>ROUND((S40+S48),0-3)</f>
        <v>0</v>
      </c>
      <c r="T49" s="293" t="s">
        <v>72</v>
      </c>
      <c r="U49" s="168">
        <f>ROUND((U40+U48),0-3)</f>
        <v>0</v>
      </c>
      <c r="V49" s="41" t="s">
        <v>72</v>
      </c>
      <c r="W49" s="42">
        <f>O49+Q49+S49+U49</f>
        <v>0</v>
      </c>
      <c r="X49" s="61"/>
      <c r="Y49" s="219"/>
      <c r="Z49" s="220"/>
      <c r="AA49" s="461"/>
      <c r="AB49" s="6"/>
      <c r="AC49" s="33" t="s">
        <v>157</v>
      </c>
      <c r="AD49" s="12"/>
      <c r="AE49" s="12"/>
      <c r="AF49" s="13">
        <f>SUM(AH49:AK49)</f>
        <v>0</v>
      </c>
      <c r="AG49" s="13"/>
      <c r="AH49" s="12"/>
      <c r="AI49" s="12"/>
      <c r="AJ49" s="12"/>
      <c r="AK49" s="67">
        <f>ROUND(+IF($D$10="DESIGN-BID-BUILD",0,IF($D$10="CM @ RISK",-SUM((O40)*0.005),0)),-3)</f>
        <v>0</v>
      </c>
      <c r="AL49" s="13"/>
      <c r="AM49" s="46"/>
      <c r="AN49" s="33" t="s">
        <v>157</v>
      </c>
      <c r="AO49" s="12"/>
      <c r="AP49" s="12"/>
      <c r="AQ49" s="13">
        <f>SUM(AS49:AV49)</f>
        <v>0</v>
      </c>
      <c r="AR49" s="13"/>
      <c r="AS49" s="33"/>
      <c r="AT49" s="33"/>
      <c r="AU49" s="33"/>
      <c r="AV49" s="67">
        <f>ROUND(+IF($D$10="DESIGN-BID-BUILD",0,IF($D$10="CM @ RISK",-SUM((Q40)*0.005),0)),-3)</f>
        <v>0</v>
      </c>
      <c r="AW49" s="65"/>
      <c r="AX49" s="46"/>
      <c r="AY49" s="33" t="s">
        <v>157</v>
      </c>
      <c r="AZ49" s="12"/>
      <c r="BA49" s="12"/>
      <c r="BB49" s="13">
        <f>SUM(BD49:BG49)</f>
        <v>0</v>
      </c>
      <c r="BC49" s="13"/>
      <c r="BD49" s="33"/>
      <c r="BE49" s="33"/>
      <c r="BF49" s="33"/>
      <c r="BG49" s="67">
        <f>ROUND(+IF($D$10="DESIGN-BID-BUILD",0,IF($D$10="CM @ RISK",-SUM((S40)*0.005),0)),-3)</f>
        <v>0</v>
      </c>
      <c r="BH49" s="65"/>
      <c r="BI49" s="46"/>
      <c r="BJ49" s="33" t="s">
        <v>157</v>
      </c>
      <c r="BK49" s="12"/>
      <c r="BL49" s="12"/>
      <c r="BM49" s="13">
        <f>SUM(BO49:BR49)</f>
        <v>0</v>
      </c>
      <c r="BN49" s="13"/>
      <c r="BO49" s="33"/>
      <c r="BP49" s="33"/>
      <c r="BQ49" s="33"/>
      <c r="BR49" s="67">
        <f>ROUND(+IF($D$10="DESIGN-BID-BUILD",0,IF($D$10="CM @ RISK",-SUM((U40)*0.005),0)),-3)</f>
        <v>0</v>
      </c>
      <c r="BS49" s="65"/>
    </row>
    <row r="50" spans="1:71" ht="12.95" customHeight="1">
      <c r="X50" s="54"/>
      <c r="Y50" s="219"/>
      <c r="Z50" s="544" t="e">
        <f>ROUND((+Z48+Z43),-3)</f>
        <v>#DIV/0!</v>
      </c>
      <c r="AA50" s="536"/>
      <c r="AB50" s="6"/>
      <c r="AL50" s="12"/>
      <c r="AM50" s="46"/>
      <c r="AN50" s="12"/>
      <c r="AO50" s="12"/>
      <c r="AP50" s="12"/>
      <c r="AQ50" s="12"/>
      <c r="AR50" s="12"/>
      <c r="AS50" s="12"/>
      <c r="AT50" s="12"/>
      <c r="AU50" s="12"/>
      <c r="AV50" s="12"/>
      <c r="AX50" s="46"/>
      <c r="AY50" s="12"/>
      <c r="AZ50" s="12"/>
      <c r="BA50" s="12"/>
      <c r="BB50" s="12"/>
      <c r="BC50" s="12"/>
      <c r="BD50" s="12"/>
      <c r="BE50" s="12"/>
      <c r="BF50" s="12"/>
      <c r="BG50" s="12"/>
      <c r="BH50" s="16"/>
      <c r="BI50" s="46"/>
      <c r="BJ50" s="12"/>
      <c r="BK50" s="12"/>
      <c r="BL50" s="12"/>
      <c r="BM50" s="12"/>
      <c r="BN50" s="12"/>
      <c r="BO50" s="12"/>
      <c r="BP50" s="12"/>
      <c r="BQ50" s="12"/>
      <c r="BR50" s="12"/>
      <c r="BS50" s="16"/>
    </row>
    <row r="51" spans="1:71" ht="12.95" customHeight="1">
      <c r="A51" s="6"/>
      <c r="O51" s="1198" t="str">
        <f>O17</f>
        <v>DEVELOPER</v>
      </c>
      <c r="P51" s="12"/>
      <c r="Q51" s="1198" t="str">
        <f>Q17</f>
        <v>CAMPUS</v>
      </c>
      <c r="R51" s="35"/>
      <c r="S51" s="1198" t="str">
        <f>S17</f>
        <v>AUXILIARY</v>
      </c>
      <c r="T51" s="35"/>
      <c r="U51" s="1198" t="str">
        <f>U17</f>
        <v>OTHER</v>
      </c>
      <c r="X51" s="54"/>
      <c r="Y51" s="476"/>
      <c r="Z51" s="476" t="s">
        <v>158</v>
      </c>
      <c r="AA51" s="538"/>
      <c r="AB51" s="6"/>
      <c r="AC51" s="29" t="s">
        <v>159</v>
      </c>
      <c r="AD51" s="12"/>
      <c r="AE51" s="12"/>
      <c r="AF51" s="12"/>
      <c r="AG51" s="12"/>
      <c r="AH51" s="12"/>
      <c r="AI51" s="12"/>
      <c r="AJ51" s="12"/>
      <c r="AK51" s="12"/>
      <c r="AL51" s="12"/>
      <c r="AM51" s="46"/>
      <c r="AN51" s="29" t="s">
        <v>159</v>
      </c>
      <c r="AO51" s="12"/>
      <c r="AP51" s="12"/>
      <c r="AQ51" s="12"/>
      <c r="AR51" s="12"/>
      <c r="AS51" s="12"/>
      <c r="AT51" s="12"/>
      <c r="AU51" s="12"/>
      <c r="AV51" s="12"/>
      <c r="AW51" s="65"/>
      <c r="AX51" s="46"/>
      <c r="AY51" s="29" t="s">
        <v>159</v>
      </c>
      <c r="AZ51" s="12"/>
      <c r="BA51" s="12"/>
      <c r="BB51" s="12"/>
      <c r="BC51" s="12"/>
      <c r="BD51" s="12"/>
      <c r="BE51" s="12"/>
      <c r="BF51" s="12"/>
      <c r="BG51" s="12"/>
      <c r="BH51" s="65"/>
      <c r="BI51" s="46"/>
      <c r="BJ51" s="29" t="s">
        <v>159</v>
      </c>
      <c r="BK51" s="12"/>
      <c r="BL51" s="12"/>
      <c r="BM51" s="12"/>
      <c r="BN51" s="12"/>
      <c r="BO51" s="12"/>
      <c r="BP51" s="12"/>
      <c r="BQ51" s="12"/>
      <c r="BR51" s="12"/>
      <c r="BS51" s="65"/>
    </row>
    <row r="52" spans="1:71" ht="12.95" customHeight="1">
      <c r="A52" s="91" t="s">
        <v>160</v>
      </c>
      <c r="B52" s="45" t="s">
        <v>161</v>
      </c>
      <c r="C52" s="33"/>
      <c r="D52" s="33"/>
      <c r="E52" s="45"/>
      <c r="F52" s="52"/>
      <c r="G52" s="52"/>
      <c r="H52" s="15"/>
      <c r="I52" s="52"/>
      <c r="J52" s="52"/>
      <c r="K52" s="52"/>
      <c r="L52" s="52"/>
      <c r="M52" s="45"/>
      <c r="N52" s="45" t="s">
        <v>72</v>
      </c>
      <c r="O52" s="693">
        <v>0</v>
      </c>
      <c r="P52" s="45"/>
      <c r="Q52" s="693">
        <v>0</v>
      </c>
      <c r="R52" s="39" t="s">
        <v>72</v>
      </c>
      <c r="S52" s="693">
        <v>0</v>
      </c>
      <c r="T52" s="35" t="s">
        <v>72</v>
      </c>
      <c r="U52" s="693">
        <v>0</v>
      </c>
      <c r="V52" s="38"/>
      <c r="W52" s="32"/>
      <c r="X52" s="61"/>
      <c r="Y52" s="476"/>
      <c r="Z52" s="219"/>
      <c r="AA52" s="537"/>
      <c r="AB52" s="6"/>
      <c r="AC52" s="686" t="s">
        <v>162</v>
      </c>
      <c r="AD52" s="12"/>
      <c r="AE52" s="12"/>
      <c r="AF52" s="13">
        <f>SUM(AH52:AK52)</f>
        <v>0</v>
      </c>
      <c r="AG52" s="13"/>
      <c r="AH52" s="694">
        <v>0</v>
      </c>
      <c r="AI52" s="686"/>
      <c r="AJ52" s="694">
        <v>0</v>
      </c>
      <c r="AK52" s="694">
        <v>0</v>
      </c>
      <c r="AL52" s="12"/>
      <c r="AM52" s="46"/>
      <c r="AN52" s="686" t="s">
        <v>162</v>
      </c>
      <c r="AO52" s="12"/>
      <c r="AP52" s="12"/>
      <c r="AQ52" s="13">
        <f>SUM(AS52:AV52)</f>
        <v>0</v>
      </c>
      <c r="AR52" s="13"/>
      <c r="AS52" s="694">
        <v>0</v>
      </c>
      <c r="AT52" s="686"/>
      <c r="AU52" s="694">
        <v>0</v>
      </c>
      <c r="AV52" s="694">
        <v>0</v>
      </c>
      <c r="AX52" s="46"/>
      <c r="AY52" s="686" t="s">
        <v>162</v>
      </c>
      <c r="AZ52" s="12"/>
      <c r="BA52" s="12"/>
      <c r="BB52" s="13">
        <f>SUM(BD52:BG52)</f>
        <v>0</v>
      </c>
      <c r="BC52" s="13"/>
      <c r="BD52" s="694">
        <v>0</v>
      </c>
      <c r="BE52" s="686"/>
      <c r="BF52" s="694">
        <v>0</v>
      </c>
      <c r="BG52" s="694">
        <v>0</v>
      </c>
      <c r="BH52" s="16"/>
      <c r="BI52" s="46"/>
      <c r="BJ52" s="686" t="s">
        <v>162</v>
      </c>
      <c r="BK52" s="12"/>
      <c r="BL52" s="12"/>
      <c r="BM52" s="13">
        <f>SUM(BO52:BR52)</f>
        <v>0</v>
      </c>
      <c r="BN52" s="13"/>
      <c r="BO52" s="694">
        <v>0</v>
      </c>
      <c r="BP52" s="686"/>
      <c r="BQ52" s="694">
        <v>0</v>
      </c>
      <c r="BR52" s="694">
        <v>0</v>
      </c>
      <c r="BS52" s="16"/>
    </row>
    <row r="53" spans="1:71" ht="12.95" customHeight="1">
      <c r="A53" s="91" t="s">
        <v>163</v>
      </c>
      <c r="B53" s="15" t="s">
        <v>164</v>
      </c>
      <c r="C53" s="15"/>
      <c r="D53" s="15"/>
      <c r="E53" s="15"/>
      <c r="F53" s="15"/>
      <c r="G53" s="15"/>
      <c r="H53" s="15"/>
      <c r="I53" s="15"/>
      <c r="J53" s="15"/>
      <c r="K53" s="15"/>
      <c r="L53" s="15"/>
      <c r="M53" s="15"/>
      <c r="N53" s="15" t="s">
        <v>72</v>
      </c>
      <c r="O53" s="36" t="e">
        <f>AH65+AJ65</f>
        <v>#DIV/0!</v>
      </c>
      <c r="P53" s="15"/>
      <c r="Q53" s="36" t="e">
        <f>AS65+AU65</f>
        <v>#DIV/0!</v>
      </c>
      <c r="R53" s="39" t="s">
        <v>72</v>
      </c>
      <c r="S53" s="36" t="e">
        <f>BD65+BF65</f>
        <v>#DIV/0!</v>
      </c>
      <c r="T53" s="35" t="s">
        <v>72</v>
      </c>
      <c r="U53" s="36" t="e">
        <f>BO65+BQ65</f>
        <v>#DIV/0!</v>
      </c>
      <c r="W53" s="13"/>
      <c r="X53" s="481"/>
      <c r="Y53" s="476"/>
      <c r="Z53" s="544" t="e">
        <f>+W48+U52+U53+U54+S52+S53+S54+W37+(O52+O53+O54+Q52+Q53+Q54)+W18+W19+W20+W21+W22</f>
        <v>#DIV/0!</v>
      </c>
      <c r="AA53" s="537"/>
      <c r="AB53" s="6"/>
      <c r="AC53" s="686" t="s">
        <v>162</v>
      </c>
      <c r="AD53" s="12"/>
      <c r="AE53" s="12"/>
      <c r="AF53" s="13">
        <f>SUM(AH53:AK53)</f>
        <v>0</v>
      </c>
      <c r="AG53" s="13"/>
      <c r="AH53" s="694">
        <v>0</v>
      </c>
      <c r="AI53" s="686"/>
      <c r="AJ53" s="694">
        <v>0</v>
      </c>
      <c r="AK53" s="694">
        <v>0</v>
      </c>
      <c r="AL53" s="12"/>
      <c r="AM53" s="46"/>
      <c r="AN53" s="686" t="s">
        <v>162</v>
      </c>
      <c r="AO53" s="12"/>
      <c r="AP53" s="12"/>
      <c r="AQ53" s="13">
        <f>SUM(AS53:AV53)</f>
        <v>0</v>
      </c>
      <c r="AR53" s="13"/>
      <c r="AS53" s="694">
        <v>0</v>
      </c>
      <c r="AT53" s="686"/>
      <c r="AU53" s="694">
        <v>0</v>
      </c>
      <c r="AV53" s="694">
        <v>0</v>
      </c>
      <c r="AX53" s="46"/>
      <c r="AY53" s="686" t="s">
        <v>162</v>
      </c>
      <c r="AZ53" s="12"/>
      <c r="BA53" s="12"/>
      <c r="BB53" s="13">
        <f>SUM(BD53:BG53)</f>
        <v>0</v>
      </c>
      <c r="BC53" s="13"/>
      <c r="BD53" s="694">
        <v>0</v>
      </c>
      <c r="BE53" s="686"/>
      <c r="BF53" s="694">
        <v>0</v>
      </c>
      <c r="BG53" s="694">
        <v>0</v>
      </c>
      <c r="BH53" s="16"/>
      <c r="BI53" s="46"/>
      <c r="BJ53" s="686" t="s">
        <v>162</v>
      </c>
      <c r="BK53" s="12"/>
      <c r="BL53" s="12"/>
      <c r="BM53" s="13">
        <f>SUM(BO53:BR53)</f>
        <v>0</v>
      </c>
      <c r="BN53" s="13"/>
      <c r="BO53" s="694">
        <v>0</v>
      </c>
      <c r="BP53" s="686"/>
      <c r="BQ53" s="694">
        <v>0</v>
      </c>
      <c r="BR53" s="694">
        <v>0</v>
      </c>
      <c r="BS53" s="16"/>
    </row>
    <row r="54" spans="1:71" ht="12.95" customHeight="1">
      <c r="A54" s="91" t="s">
        <v>165</v>
      </c>
      <c r="B54" s="15" t="s">
        <v>166</v>
      </c>
      <c r="C54" s="15"/>
      <c r="D54" s="15"/>
      <c r="E54" s="15"/>
      <c r="F54" s="15"/>
      <c r="G54" s="15"/>
      <c r="H54" s="15"/>
      <c r="I54" s="15"/>
      <c r="J54" s="15"/>
      <c r="K54" s="15"/>
      <c r="L54" s="15"/>
      <c r="M54" s="15"/>
      <c r="N54" s="15" t="s">
        <v>72</v>
      </c>
      <c r="O54" s="36" t="e">
        <f>AK65</f>
        <v>#DIV/0!</v>
      </c>
      <c r="P54" s="15"/>
      <c r="Q54" s="36" t="e">
        <f>AV65</f>
        <v>#DIV/0!</v>
      </c>
      <c r="R54" s="35" t="s">
        <v>72</v>
      </c>
      <c r="S54" s="36" t="e">
        <f>BG65</f>
        <v>#DIV/0!</v>
      </c>
      <c r="T54" s="35" t="s">
        <v>72</v>
      </c>
      <c r="U54" s="36" t="e">
        <f>BR65</f>
        <v>#DIV/0!</v>
      </c>
      <c r="W54" s="13"/>
      <c r="X54" s="481"/>
      <c r="Y54" s="476"/>
      <c r="Z54" s="194" t="s">
        <v>167</v>
      </c>
      <c r="AA54" s="537"/>
      <c r="AB54" s="6"/>
      <c r="AC54" s="686" t="s">
        <v>162</v>
      </c>
      <c r="AD54" s="12"/>
      <c r="AE54" s="12"/>
      <c r="AF54" s="13">
        <f>SUM(AH54:AK54)</f>
        <v>0</v>
      </c>
      <c r="AG54" s="13"/>
      <c r="AH54" s="694">
        <v>0</v>
      </c>
      <c r="AI54" s="686"/>
      <c r="AJ54" s="694">
        <v>0</v>
      </c>
      <c r="AK54" s="694">
        <v>0</v>
      </c>
      <c r="AL54" s="12"/>
      <c r="AM54" s="46"/>
      <c r="AN54" s="686" t="s">
        <v>162</v>
      </c>
      <c r="AO54" s="12"/>
      <c r="AP54" s="12"/>
      <c r="AQ54" s="13">
        <f>SUM(AS54:AV54)</f>
        <v>0</v>
      </c>
      <c r="AR54" s="13"/>
      <c r="AS54" s="694">
        <v>0</v>
      </c>
      <c r="AT54" s="686"/>
      <c r="AU54" s="694">
        <v>0</v>
      </c>
      <c r="AV54" s="694">
        <v>0</v>
      </c>
      <c r="AX54" s="46"/>
      <c r="AY54" s="686" t="s">
        <v>162</v>
      </c>
      <c r="AZ54" s="12"/>
      <c r="BA54" s="12"/>
      <c r="BB54" s="13">
        <f>SUM(BD54:BG54)</f>
        <v>0</v>
      </c>
      <c r="BC54" s="13"/>
      <c r="BD54" s="694">
        <v>0</v>
      </c>
      <c r="BE54" s="686"/>
      <c r="BF54" s="694">
        <v>0</v>
      </c>
      <c r="BG54" s="694">
        <v>0</v>
      </c>
      <c r="BH54" s="16"/>
      <c r="BI54" s="46"/>
      <c r="BJ54" s="686" t="s">
        <v>162</v>
      </c>
      <c r="BK54" s="12"/>
      <c r="BL54" s="12"/>
      <c r="BM54" s="13">
        <f>SUM(BO54:BR54)</f>
        <v>0</v>
      </c>
      <c r="BN54" s="13"/>
      <c r="BO54" s="694">
        <v>0</v>
      </c>
      <c r="BP54" s="686"/>
      <c r="BQ54" s="694">
        <v>0</v>
      </c>
      <c r="BR54" s="694">
        <v>0</v>
      </c>
      <c r="BS54" s="16"/>
    </row>
    <row r="55" spans="1:71" ht="12.95" customHeight="1">
      <c r="A55" s="91"/>
      <c r="B55" s="62"/>
      <c r="C55" s="45"/>
      <c r="D55" s="52"/>
      <c r="E55" s="52"/>
      <c r="F55" s="52"/>
      <c r="G55" s="52"/>
      <c r="H55" s="52"/>
      <c r="I55" s="52"/>
      <c r="J55" s="52"/>
      <c r="K55" s="52"/>
      <c r="L55" s="52"/>
      <c r="M55" s="52"/>
      <c r="N55" s="59"/>
      <c r="O55" s="124"/>
      <c r="P55" s="703"/>
      <c r="Q55" s="124"/>
      <c r="R55" s="35"/>
      <c r="S55" s="124"/>
      <c r="T55" s="102"/>
      <c r="U55" s="124"/>
      <c r="W55" s="13"/>
      <c r="X55" s="481"/>
      <c r="Y55" s="476"/>
      <c r="Z55" s="194" t="s">
        <v>168</v>
      </c>
      <c r="AA55" s="537"/>
      <c r="AB55" s="202"/>
      <c r="AC55" s="686" t="s">
        <v>162</v>
      </c>
      <c r="AD55" s="12"/>
      <c r="AE55" s="12"/>
      <c r="AF55" s="13">
        <f>SUM(AH55:AK55)</f>
        <v>0</v>
      </c>
      <c r="AG55" s="13"/>
      <c r="AH55" s="694">
        <v>0</v>
      </c>
      <c r="AI55" s="686"/>
      <c r="AJ55" s="694">
        <v>0</v>
      </c>
      <c r="AK55" s="694">
        <v>0</v>
      </c>
      <c r="AL55" s="12"/>
      <c r="AM55" s="46"/>
      <c r="AN55" s="686" t="s">
        <v>162</v>
      </c>
      <c r="AO55" s="12"/>
      <c r="AP55" s="12"/>
      <c r="AQ55" s="13">
        <f>SUM(AS55:AV55)</f>
        <v>0</v>
      </c>
      <c r="AR55" s="13"/>
      <c r="AS55" s="694">
        <v>0</v>
      </c>
      <c r="AT55" s="686"/>
      <c r="AU55" s="694">
        <v>0</v>
      </c>
      <c r="AV55" s="694">
        <v>0</v>
      </c>
      <c r="AX55" s="46"/>
      <c r="AY55" s="686" t="s">
        <v>162</v>
      </c>
      <c r="AZ55" s="12"/>
      <c r="BA55" s="12"/>
      <c r="BB55" s="13">
        <f>SUM(BD55:BG55)</f>
        <v>0</v>
      </c>
      <c r="BC55" s="13"/>
      <c r="BD55" s="694">
        <v>0</v>
      </c>
      <c r="BE55" s="686"/>
      <c r="BF55" s="694">
        <v>0</v>
      </c>
      <c r="BG55" s="694">
        <v>0</v>
      </c>
      <c r="BH55" s="16"/>
      <c r="BI55" s="46"/>
      <c r="BJ55" s="686" t="s">
        <v>162</v>
      </c>
      <c r="BK55" s="12"/>
      <c r="BL55" s="12"/>
      <c r="BM55" s="13">
        <f>SUM(BO55:BR55)</f>
        <v>0</v>
      </c>
      <c r="BN55" s="13"/>
      <c r="BO55" s="694">
        <v>0</v>
      </c>
      <c r="BP55" s="686"/>
      <c r="BQ55" s="694">
        <v>0</v>
      </c>
      <c r="BR55" s="694">
        <v>0</v>
      </c>
      <c r="BS55" s="16"/>
    </row>
    <row r="56" spans="1:71" ht="12.95" customHeight="1">
      <c r="A56" s="91"/>
      <c r="B56" s="62"/>
      <c r="C56" s="45"/>
      <c r="D56" s="52"/>
      <c r="E56" s="52"/>
      <c r="F56" s="52"/>
      <c r="G56" s="52"/>
      <c r="H56" s="52"/>
      <c r="I56" s="52"/>
      <c r="J56" s="52"/>
      <c r="K56" s="52"/>
      <c r="L56" s="52"/>
      <c r="M56" s="52"/>
      <c r="N56" s="59"/>
      <c r="O56" s="295"/>
      <c r="P56" s="703"/>
      <c r="Q56" s="295"/>
      <c r="R56" s="35"/>
      <c r="S56" s="295"/>
      <c r="T56" s="102"/>
      <c r="U56" s="295"/>
      <c r="W56" s="13"/>
      <c r="X56" s="481"/>
      <c r="Y56" s="476"/>
      <c r="Z56" s="477" t="s">
        <v>169</v>
      </c>
      <c r="AA56" s="537"/>
      <c r="AB56" s="6"/>
      <c r="AL56" s="12"/>
      <c r="AN56" s="12"/>
      <c r="AO56" s="12"/>
      <c r="AP56" s="12"/>
      <c r="AQ56" s="12"/>
      <c r="AR56" s="12"/>
      <c r="AS56" s="12"/>
      <c r="AT56" s="12"/>
      <c r="AU56" s="12"/>
      <c r="AV56" s="12"/>
      <c r="AX56" s="6"/>
      <c r="AY56" s="12"/>
      <c r="AZ56" s="12"/>
      <c r="BA56" s="12"/>
      <c r="BB56" s="12"/>
      <c r="BC56" s="12"/>
      <c r="BD56" s="12"/>
      <c r="BE56" s="12"/>
      <c r="BF56" s="12"/>
      <c r="BG56" s="12"/>
      <c r="BH56" s="16"/>
      <c r="BI56" s="6"/>
      <c r="BJ56" s="12"/>
      <c r="BK56" s="12"/>
      <c r="BL56" s="12"/>
      <c r="BM56" s="12"/>
      <c r="BN56" s="12"/>
      <c r="BO56" s="12"/>
      <c r="BP56" s="12"/>
      <c r="BQ56" s="12"/>
      <c r="BR56" s="12"/>
      <c r="BS56" s="16"/>
    </row>
    <row r="57" spans="1:71" ht="12.95" customHeight="1">
      <c r="A57" s="91" t="s">
        <v>170</v>
      </c>
      <c r="B57" s="31" t="s">
        <v>171</v>
      </c>
      <c r="C57" s="15"/>
      <c r="D57" s="15"/>
      <c r="E57" s="15"/>
      <c r="F57" s="15"/>
      <c r="G57" s="15"/>
      <c r="H57" s="15"/>
      <c r="I57" s="15"/>
      <c r="J57" s="15"/>
      <c r="K57" s="15"/>
      <c r="L57" s="15"/>
      <c r="M57" s="15"/>
      <c r="N57" s="15" t="s">
        <v>72</v>
      </c>
      <c r="O57" s="42" t="e">
        <f>SUM(O49:O56)+O24</f>
        <v>#DIV/0!</v>
      </c>
      <c r="P57" s="15"/>
      <c r="Q57" s="42" t="e">
        <f>SUM(Q49:Q56)+Q24</f>
        <v>#DIV/0!</v>
      </c>
      <c r="R57" s="35" t="s">
        <v>72</v>
      </c>
      <c r="S57" s="42" t="e">
        <f>SUM(S49:S56)+S24</f>
        <v>#DIV/0!</v>
      </c>
      <c r="T57" s="49" t="s">
        <v>72</v>
      </c>
      <c r="U57" s="42" t="e">
        <f>SUM(U49:U56)+U24</f>
        <v>#DIV/0!</v>
      </c>
      <c r="V57" s="35" t="s">
        <v>72</v>
      </c>
      <c r="W57" s="296" t="e">
        <f>O57+Q57+S57+U57</f>
        <v>#DIV/0!</v>
      </c>
      <c r="X57" s="171" t="e">
        <f>W57/(X11)</f>
        <v>#DIV/0!</v>
      </c>
      <c r="Y57" s="476"/>
      <c r="Z57" s="544">
        <f>W23</f>
        <v>0</v>
      </c>
      <c r="AA57" s="536" t="s">
        <v>172</v>
      </c>
      <c r="AB57" s="6"/>
      <c r="AC57" s="29" t="s">
        <v>173</v>
      </c>
      <c r="AD57" s="12"/>
      <c r="AE57" s="12"/>
      <c r="AF57" s="12"/>
      <c r="AG57" s="12"/>
      <c r="AH57" s="12"/>
      <c r="AI57" s="12"/>
      <c r="AJ57" s="12"/>
      <c r="AK57" s="12"/>
      <c r="AL57" s="12"/>
      <c r="AN57" s="29" t="s">
        <v>173</v>
      </c>
      <c r="AO57" s="12"/>
      <c r="AP57" s="12"/>
      <c r="AQ57" s="12"/>
      <c r="AR57" s="12"/>
      <c r="AS57" s="12"/>
      <c r="AT57" s="12"/>
      <c r="AU57" s="12"/>
      <c r="AV57" s="12"/>
      <c r="AX57" s="6"/>
      <c r="AY57" s="29" t="s">
        <v>173</v>
      </c>
      <c r="AZ57" s="12"/>
      <c r="BA57" s="12"/>
      <c r="BB57" s="12"/>
      <c r="BC57" s="12"/>
      <c r="BD57" s="12"/>
      <c r="BE57" s="12"/>
      <c r="BF57" s="12"/>
      <c r="BG57" s="12"/>
      <c r="BH57" s="16"/>
      <c r="BI57" s="6"/>
      <c r="BJ57" s="29" t="s">
        <v>173</v>
      </c>
      <c r="BK57" s="12"/>
      <c r="BL57" s="12"/>
      <c r="BM57" s="12"/>
      <c r="BN57" s="12"/>
      <c r="BO57" s="12"/>
      <c r="BP57" s="12"/>
      <c r="BQ57" s="12"/>
      <c r="BR57" s="12"/>
      <c r="BS57" s="16"/>
    </row>
    <row r="58" spans="1:71" ht="12.95" customHeight="1">
      <c r="A58" s="113" t="s">
        <v>174</v>
      </c>
      <c r="B58" s="15" t="s">
        <v>175</v>
      </c>
      <c r="C58" s="15"/>
      <c r="D58" s="15"/>
      <c r="E58" s="124"/>
      <c r="F58" s="15"/>
      <c r="G58" s="15"/>
      <c r="H58" s="15"/>
      <c r="I58" s="15"/>
      <c r="J58" s="15"/>
      <c r="K58" s="15"/>
      <c r="L58" s="15"/>
      <c r="M58" s="15"/>
      <c r="N58" s="15" t="s">
        <v>72</v>
      </c>
      <c r="O58" s="828">
        <v>0</v>
      </c>
      <c r="P58" s="15"/>
      <c r="Q58" s="828">
        <v>0</v>
      </c>
      <c r="R58" s="39" t="s">
        <v>72</v>
      </c>
      <c r="S58" s="828">
        <v>0</v>
      </c>
      <c r="T58" s="35" t="s">
        <v>72</v>
      </c>
      <c r="U58" s="828">
        <v>0</v>
      </c>
      <c r="V58" s="41"/>
      <c r="W58" s="37"/>
      <c r="X58" s="482"/>
      <c r="Y58" s="476"/>
      <c r="Z58" s="544" t="e">
        <f>+Z50+Z53</f>
        <v>#DIV/0!</v>
      </c>
      <c r="AA58" s="194"/>
      <c r="AB58" s="6"/>
      <c r="AC58" s="12" t="s">
        <v>176</v>
      </c>
      <c r="AD58" s="12"/>
      <c r="AE58" s="12"/>
      <c r="AF58" s="13">
        <f>SUM(AH58:AK58)</f>
        <v>0</v>
      </c>
      <c r="AG58" s="13"/>
      <c r="AH58" s="694">
        <v>0</v>
      </c>
      <c r="AI58" s="686"/>
      <c r="AJ58" s="694">
        <v>0</v>
      </c>
      <c r="AK58" s="694">
        <v>0</v>
      </c>
      <c r="AL58" s="12"/>
      <c r="AM58" s="202"/>
      <c r="AN58" s="12" t="s">
        <v>176</v>
      </c>
      <c r="AO58" s="12"/>
      <c r="AP58" s="12"/>
      <c r="AQ58" s="13">
        <f>SUM(AS58:AV58)</f>
        <v>0</v>
      </c>
      <c r="AR58" s="13"/>
      <c r="AS58" s="694">
        <v>0</v>
      </c>
      <c r="AT58" s="686"/>
      <c r="AU58" s="694">
        <v>0</v>
      </c>
      <c r="AV58" s="694">
        <v>0</v>
      </c>
      <c r="AW58" s="203"/>
      <c r="AX58" s="202"/>
      <c r="AY58" s="12" t="s">
        <v>176</v>
      </c>
      <c r="AZ58" s="12"/>
      <c r="BA58" s="12"/>
      <c r="BB58" s="13">
        <f>SUM(BD58:BG58)</f>
        <v>0</v>
      </c>
      <c r="BC58" s="13"/>
      <c r="BD58" s="694">
        <v>0</v>
      </c>
      <c r="BE58" s="686"/>
      <c r="BF58" s="694">
        <v>0</v>
      </c>
      <c r="BG58" s="694">
        <v>0</v>
      </c>
      <c r="BH58" s="203"/>
      <c r="BI58" s="202"/>
      <c r="BJ58" s="12" t="s">
        <v>176</v>
      </c>
      <c r="BK58" s="12"/>
      <c r="BL58" s="12"/>
      <c r="BM58" s="13">
        <f>SUM(BO58:BR58)</f>
        <v>0</v>
      </c>
      <c r="BN58" s="13"/>
      <c r="BO58" s="694">
        <v>0</v>
      </c>
      <c r="BP58" s="686"/>
      <c r="BQ58" s="694">
        <v>0</v>
      </c>
      <c r="BR58" s="694">
        <v>0</v>
      </c>
      <c r="BS58" s="203"/>
    </row>
    <row r="59" spans="1:71" ht="11.1" customHeight="1">
      <c r="A59" s="113" t="s">
        <v>177</v>
      </c>
      <c r="B59" s="31" t="s">
        <v>178</v>
      </c>
      <c r="C59" s="15"/>
      <c r="D59" s="15"/>
      <c r="E59" s="15"/>
      <c r="F59" s="15"/>
      <c r="G59" s="15"/>
      <c r="H59" s="15"/>
      <c r="I59" s="15"/>
      <c r="J59" s="15"/>
      <c r="K59" s="15"/>
      <c r="L59" s="15"/>
      <c r="M59" s="15"/>
      <c r="N59" s="15" t="s">
        <v>72</v>
      </c>
      <c r="O59" s="168" t="e">
        <f>O57+O58</f>
        <v>#DIV/0!</v>
      </c>
      <c r="P59" s="15"/>
      <c r="Q59" s="168" t="e">
        <f>Q57+Q58</f>
        <v>#DIV/0!</v>
      </c>
      <c r="R59" s="38" t="s">
        <v>72</v>
      </c>
      <c r="S59" s="168" t="e">
        <f>S57+S58</f>
        <v>#DIV/0!</v>
      </c>
      <c r="T59" s="35" t="s">
        <v>72</v>
      </c>
      <c r="U59" s="168" t="e">
        <f>U57+U58</f>
        <v>#DIV/0!</v>
      </c>
      <c r="V59" s="35" t="s">
        <v>72</v>
      </c>
      <c r="W59" s="296" t="e">
        <f>O59+Q59+S59+U59</f>
        <v>#DIV/0!</v>
      </c>
      <c r="X59" s="171" t="e">
        <f>W59/(X11)</f>
        <v>#DIV/0!</v>
      </c>
      <c r="Y59" s="194"/>
      <c r="Z59" s="1240"/>
      <c r="AA59" s="194"/>
      <c r="AB59" s="6"/>
      <c r="AC59" s="12" t="s">
        <v>179</v>
      </c>
      <c r="AD59" s="12"/>
      <c r="AE59" s="12"/>
      <c r="AF59" s="13">
        <f t="shared" ref="AF59:AF65" si="14">SUM(AH59:AK59)</f>
        <v>0</v>
      </c>
      <c r="AG59" s="13"/>
      <c r="AH59" s="694">
        <v>0</v>
      </c>
      <c r="AI59" s="686"/>
      <c r="AJ59" s="694">
        <v>0</v>
      </c>
      <c r="AK59" s="694">
        <v>0</v>
      </c>
      <c r="AL59" s="12"/>
      <c r="AM59" s="326"/>
      <c r="AN59" s="12" t="s">
        <v>179</v>
      </c>
      <c r="AO59" s="12"/>
      <c r="AP59" s="12"/>
      <c r="AQ59" s="13">
        <f t="shared" ref="AQ59:AQ64" si="15">SUM(AS59:AV59)</f>
        <v>0</v>
      </c>
      <c r="AR59" s="13"/>
      <c r="AS59" s="694">
        <v>0</v>
      </c>
      <c r="AT59" s="686"/>
      <c r="AU59" s="694">
        <v>0</v>
      </c>
      <c r="AV59" s="694">
        <v>0</v>
      </c>
      <c r="AW59" s="1114"/>
      <c r="AX59" s="326"/>
      <c r="AY59" s="12" t="s">
        <v>179</v>
      </c>
      <c r="AZ59" s="12"/>
      <c r="BA59" s="12"/>
      <c r="BB59" s="13">
        <f t="shared" ref="BB59:BB64" si="16">SUM(BD59:BG59)</f>
        <v>0</v>
      </c>
      <c r="BC59" s="13"/>
      <c r="BD59" s="694">
        <v>0</v>
      </c>
      <c r="BE59" s="686"/>
      <c r="BF59" s="694">
        <v>0</v>
      </c>
      <c r="BG59" s="694">
        <v>0</v>
      </c>
      <c r="BH59" s="1114"/>
      <c r="BI59" s="326"/>
      <c r="BJ59" s="12" t="s">
        <v>179</v>
      </c>
      <c r="BK59" s="12"/>
      <c r="BL59" s="12"/>
      <c r="BM59" s="13">
        <f t="shared" ref="BM59:BM64" si="17">SUM(BO59:BR59)</f>
        <v>0</v>
      </c>
      <c r="BN59" s="13"/>
      <c r="BO59" s="694">
        <v>0</v>
      </c>
      <c r="BP59" s="686"/>
      <c r="BQ59" s="694">
        <v>0</v>
      </c>
      <c r="BR59" s="694">
        <v>0</v>
      </c>
      <c r="BS59" s="1114"/>
    </row>
    <row r="60" spans="1:71" ht="12" customHeight="1">
      <c r="A60" s="6"/>
      <c r="X60" s="54"/>
      <c r="Y60" s="194"/>
      <c r="Z60" s="219"/>
      <c r="AA60" s="194"/>
      <c r="AB60" s="6"/>
      <c r="AC60" s="12" t="s">
        <v>180</v>
      </c>
      <c r="AD60" s="12"/>
      <c r="AE60" s="12"/>
      <c r="AF60" s="13">
        <f t="shared" si="14"/>
        <v>0</v>
      </c>
      <c r="AG60" s="13"/>
      <c r="AH60" s="694">
        <v>0</v>
      </c>
      <c r="AI60" s="686"/>
      <c r="AJ60" s="694">
        <v>0</v>
      </c>
      <c r="AK60" s="694">
        <v>0</v>
      </c>
      <c r="AL60" s="12"/>
      <c r="AM60" s="1113"/>
      <c r="AN60" s="12" t="s">
        <v>180</v>
      </c>
      <c r="AO60" s="12"/>
      <c r="AP60" s="12"/>
      <c r="AQ60" s="13">
        <f t="shared" si="15"/>
        <v>0</v>
      </c>
      <c r="AR60" s="13"/>
      <c r="AS60" s="694">
        <v>0</v>
      </c>
      <c r="AT60" s="686"/>
      <c r="AU60" s="694">
        <v>0</v>
      </c>
      <c r="AV60" s="694">
        <v>0</v>
      </c>
      <c r="AW60" s="1114"/>
      <c r="AX60" s="1113"/>
      <c r="AY60" s="12" t="s">
        <v>180</v>
      </c>
      <c r="AZ60" s="12"/>
      <c r="BA60" s="12"/>
      <c r="BB60" s="13">
        <f t="shared" si="16"/>
        <v>0</v>
      </c>
      <c r="BC60" s="13"/>
      <c r="BD60" s="694">
        <v>0</v>
      </c>
      <c r="BE60" s="686"/>
      <c r="BF60" s="694">
        <v>0</v>
      </c>
      <c r="BG60" s="694">
        <v>0</v>
      </c>
      <c r="BH60" s="1114"/>
      <c r="BI60" s="1113"/>
      <c r="BJ60" s="12" t="s">
        <v>180</v>
      </c>
      <c r="BK60" s="12"/>
      <c r="BL60" s="12"/>
      <c r="BM60" s="13">
        <f t="shared" si="17"/>
        <v>0</v>
      </c>
      <c r="BN60" s="13"/>
      <c r="BO60" s="694">
        <v>0</v>
      </c>
      <c r="BP60" s="686"/>
      <c r="BQ60" s="694">
        <v>0</v>
      </c>
      <c r="BR60" s="694">
        <v>0</v>
      </c>
      <c r="BS60" s="1114"/>
    </row>
    <row r="61" spans="1:71" ht="11.1" customHeight="1">
      <c r="A61" s="113" t="s">
        <v>181</v>
      </c>
      <c r="B61" s="15" t="s">
        <v>182</v>
      </c>
      <c r="C61" s="31"/>
      <c r="D61" s="15"/>
      <c r="E61" s="15"/>
      <c r="F61" s="15"/>
      <c r="G61" s="15"/>
      <c r="H61" s="15"/>
      <c r="I61" s="15"/>
      <c r="J61" s="15"/>
      <c r="K61" s="15"/>
      <c r="L61" s="15"/>
      <c r="M61" s="15"/>
      <c r="N61" s="15"/>
      <c r="O61" s="15"/>
      <c r="P61" s="15"/>
      <c r="Q61" s="15"/>
      <c r="R61" s="38"/>
      <c r="S61" s="37"/>
      <c r="T61" s="49"/>
      <c r="U61" s="32"/>
      <c r="X61" s="54"/>
      <c r="Y61" s="194"/>
      <c r="Z61" s="194"/>
      <c r="AA61" s="194"/>
      <c r="AB61" s="6"/>
      <c r="AC61" s="12" t="s">
        <v>183</v>
      </c>
      <c r="AD61" s="12"/>
      <c r="AE61" s="39"/>
      <c r="AF61" s="13">
        <f t="shared" si="14"/>
        <v>0</v>
      </c>
      <c r="AG61" s="12"/>
      <c r="AH61" s="694">
        <v>0</v>
      </c>
      <c r="AI61" s="686"/>
      <c r="AJ61" s="694">
        <v>0</v>
      </c>
      <c r="AK61" s="694">
        <v>0</v>
      </c>
      <c r="AL61" s="12"/>
      <c r="AM61" s="1104"/>
      <c r="AN61" s="12" t="s">
        <v>183</v>
      </c>
      <c r="AO61" s="12"/>
      <c r="AP61" s="39"/>
      <c r="AQ61" s="13">
        <f t="shared" si="15"/>
        <v>0</v>
      </c>
      <c r="AR61" s="12"/>
      <c r="AS61" s="694">
        <v>0</v>
      </c>
      <c r="AT61" s="686"/>
      <c r="AU61" s="694">
        <v>0</v>
      </c>
      <c r="AV61" s="694">
        <v>0</v>
      </c>
      <c r="AW61" s="1111"/>
      <c r="AX61" s="1104"/>
      <c r="AY61" s="12" t="s">
        <v>183</v>
      </c>
      <c r="AZ61" s="12"/>
      <c r="BA61" s="39"/>
      <c r="BB61" s="13">
        <f t="shared" si="16"/>
        <v>0</v>
      </c>
      <c r="BC61" s="12"/>
      <c r="BD61" s="694">
        <v>0</v>
      </c>
      <c r="BE61" s="686"/>
      <c r="BF61" s="694">
        <v>0</v>
      </c>
      <c r="BG61" s="694">
        <v>0</v>
      </c>
      <c r="BH61" s="1111"/>
      <c r="BI61" s="1104"/>
      <c r="BJ61" s="12" t="s">
        <v>183</v>
      </c>
      <c r="BK61" s="12"/>
      <c r="BL61" s="39"/>
      <c r="BM61" s="13">
        <f t="shared" si="17"/>
        <v>0</v>
      </c>
      <c r="BN61" s="12"/>
      <c r="BO61" s="694">
        <v>0</v>
      </c>
      <c r="BP61" s="686"/>
      <c r="BQ61" s="694">
        <v>0</v>
      </c>
      <c r="BR61" s="694">
        <v>0</v>
      </c>
      <c r="BS61" s="1111"/>
    </row>
    <row r="62" spans="1:71" ht="12" customHeight="1">
      <c r="A62" s="6"/>
      <c r="B62" s="28" t="s">
        <v>136</v>
      </c>
      <c r="C62" s="45" t="str">
        <f>IF($D$2="ENERGY","Campus Funds…………………………………………………………..............………………..…………………………………………………………………………..…………….","Campus Designated Reserves………………………………...…………………………………………………….................……………..................................................................................")</f>
        <v>Campus Designated Reserves………………………………...…………………………………………………….................……………..................................................................................</v>
      </c>
      <c r="D62" s="15"/>
      <c r="E62" s="687"/>
      <c r="F62" s="687"/>
      <c r="G62" s="15"/>
      <c r="H62" s="15"/>
      <c r="I62" s="15"/>
      <c r="J62" s="15"/>
      <c r="K62" s="15"/>
      <c r="L62" s="15"/>
      <c r="M62" s="15"/>
      <c r="N62" s="15"/>
      <c r="O62" s="15"/>
      <c r="P62" s="15"/>
      <c r="Q62" s="15"/>
      <c r="R62" s="38"/>
      <c r="S62" s="37"/>
      <c r="T62" s="38" t="s">
        <v>72</v>
      </c>
      <c r="U62" s="696"/>
      <c r="X62" s="54"/>
      <c r="Y62" s="194"/>
      <c r="Z62" s="219"/>
      <c r="AA62" s="194"/>
      <c r="AB62" s="6"/>
      <c r="AC62" s="12" t="s">
        <v>184</v>
      </c>
      <c r="AD62" s="12"/>
      <c r="AE62" s="12"/>
      <c r="AF62" s="13">
        <f t="shared" si="14"/>
        <v>0</v>
      </c>
      <c r="AG62" s="12"/>
      <c r="AH62" s="694">
        <v>0</v>
      </c>
      <c r="AI62" s="686"/>
      <c r="AJ62" s="694">
        <v>0</v>
      </c>
      <c r="AK62" s="694">
        <v>0</v>
      </c>
      <c r="AL62" s="12"/>
      <c r="AM62" s="1104"/>
      <c r="AN62" s="12" t="s">
        <v>184</v>
      </c>
      <c r="AO62" s="12"/>
      <c r="AP62" s="12"/>
      <c r="AQ62" s="13">
        <f t="shared" si="15"/>
        <v>0</v>
      </c>
      <c r="AR62" s="12"/>
      <c r="AS62" s="694">
        <v>0</v>
      </c>
      <c r="AT62" s="686"/>
      <c r="AU62" s="694">
        <v>0</v>
      </c>
      <c r="AV62" s="694">
        <v>0</v>
      </c>
      <c r="AW62" s="1111"/>
      <c r="AX62" s="1104"/>
      <c r="AY62" s="12" t="s">
        <v>184</v>
      </c>
      <c r="AZ62" s="12"/>
      <c r="BA62" s="12"/>
      <c r="BB62" s="13">
        <f t="shared" si="16"/>
        <v>0</v>
      </c>
      <c r="BC62" s="12"/>
      <c r="BD62" s="694">
        <v>0</v>
      </c>
      <c r="BE62" s="686"/>
      <c r="BF62" s="694">
        <v>0</v>
      </c>
      <c r="BG62" s="694">
        <v>0</v>
      </c>
      <c r="BH62" s="1111"/>
      <c r="BI62" s="1104"/>
      <c r="BJ62" s="12" t="s">
        <v>184</v>
      </c>
      <c r="BK62" s="12"/>
      <c r="BL62" s="12"/>
      <c r="BM62" s="13">
        <f t="shared" si="17"/>
        <v>0</v>
      </c>
      <c r="BN62" s="12"/>
      <c r="BO62" s="694">
        <v>0</v>
      </c>
      <c r="BP62" s="686"/>
      <c r="BQ62" s="694">
        <v>0</v>
      </c>
      <c r="BR62" s="694">
        <v>0</v>
      </c>
      <c r="BS62" s="1111"/>
    </row>
    <row r="63" spans="1:71" ht="12" customHeight="1">
      <c r="A63" s="91"/>
      <c r="B63" s="28" t="s">
        <v>139</v>
      </c>
      <c r="C63" s="45" t="str">
        <f>IF($D$2="ENERGY","Equipment Lease Financing………………….........................………………………………...........……………………………………………………………………………………….","Systemwide Revenue Bond………………………………...……………………………………………………............……………..................................................................................")</f>
        <v>Systemwide Revenue Bond………………………………...……………………………………………………............……………..................................................................................</v>
      </c>
      <c r="D63" s="15"/>
      <c r="E63" s="687"/>
      <c r="F63" s="687"/>
      <c r="G63" s="15"/>
      <c r="H63" s="15"/>
      <c r="I63" s="15"/>
      <c r="J63" s="15"/>
      <c r="K63" s="15"/>
      <c r="L63" s="15"/>
      <c r="M63" s="15"/>
      <c r="N63" s="15"/>
      <c r="O63" s="15"/>
      <c r="P63" s="15"/>
      <c r="Q63" s="15"/>
      <c r="R63" s="39"/>
      <c r="S63" s="15"/>
      <c r="T63" s="38" t="s">
        <v>72</v>
      </c>
      <c r="U63" s="696"/>
      <c r="X63" s="54"/>
      <c r="Y63" s="194"/>
      <c r="Z63" s="219"/>
      <c r="AA63" s="194"/>
      <c r="AB63" s="6"/>
      <c r="AC63" s="12" t="s">
        <v>185</v>
      </c>
      <c r="AD63" s="12"/>
      <c r="AE63" s="12"/>
      <c r="AF63" s="13">
        <f t="shared" si="14"/>
        <v>0</v>
      </c>
      <c r="AG63" s="12"/>
      <c r="AH63" s="694">
        <v>0</v>
      </c>
      <c r="AI63" s="686"/>
      <c r="AJ63" s="694">
        <v>0</v>
      </c>
      <c r="AK63" s="694">
        <v>0</v>
      </c>
      <c r="AL63" s="12"/>
      <c r="AM63" s="1104"/>
      <c r="AN63" s="12" t="s">
        <v>185</v>
      </c>
      <c r="AO63" s="12"/>
      <c r="AP63" s="12"/>
      <c r="AQ63" s="13">
        <f t="shared" si="15"/>
        <v>0</v>
      </c>
      <c r="AR63" s="12"/>
      <c r="AS63" s="694">
        <v>0</v>
      </c>
      <c r="AT63" s="686"/>
      <c r="AU63" s="694">
        <v>0</v>
      </c>
      <c r="AV63" s="694">
        <v>0</v>
      </c>
      <c r="AW63" s="1111"/>
      <c r="AX63" s="1104"/>
      <c r="AY63" s="12" t="s">
        <v>185</v>
      </c>
      <c r="AZ63" s="12"/>
      <c r="BA63" s="12"/>
      <c r="BB63" s="13">
        <f t="shared" si="16"/>
        <v>0</v>
      </c>
      <c r="BC63" s="12"/>
      <c r="BD63" s="694">
        <v>0</v>
      </c>
      <c r="BE63" s="686"/>
      <c r="BF63" s="694">
        <v>0</v>
      </c>
      <c r="BG63" s="694">
        <v>0</v>
      </c>
      <c r="BH63" s="1111"/>
      <c r="BI63" s="1104"/>
      <c r="BJ63" s="12" t="s">
        <v>185</v>
      </c>
      <c r="BK63" s="12"/>
      <c r="BL63" s="12"/>
      <c r="BM63" s="13">
        <f t="shared" si="17"/>
        <v>0</v>
      </c>
      <c r="BN63" s="12"/>
      <c r="BO63" s="694">
        <v>0</v>
      </c>
      <c r="BP63" s="686"/>
      <c r="BQ63" s="694">
        <v>0</v>
      </c>
      <c r="BR63" s="694">
        <v>0</v>
      </c>
      <c r="BS63" s="1111"/>
    </row>
    <row r="64" spans="1:71" ht="12" customHeight="1">
      <c r="A64" s="6"/>
      <c r="B64" s="28" t="s">
        <v>186</v>
      </c>
      <c r="C64" s="45" t="str">
        <f>IF($D$2="ENERGY","Self Generation Incentive Program (SGIP).............……………………...............................…………………………………………………………………………….","State Appropriation………………………………...………………………………….......................………………………………..................................................................................")</f>
        <v>State Appropriation………………………………...………………………………….......................………………………………..................................................................................</v>
      </c>
      <c r="D64" s="15"/>
      <c r="E64" s="687"/>
      <c r="F64" s="687"/>
      <c r="G64" s="15"/>
      <c r="H64" s="15"/>
      <c r="I64" s="15"/>
      <c r="J64" s="15"/>
      <c r="K64" s="15"/>
      <c r="L64" s="15"/>
      <c r="M64" s="15"/>
      <c r="N64" s="15"/>
      <c r="O64" s="15"/>
      <c r="P64" s="15"/>
      <c r="Q64" s="15"/>
      <c r="R64" s="39"/>
      <c r="S64" s="15"/>
      <c r="T64" s="38" t="s">
        <v>72</v>
      </c>
      <c r="U64" s="696"/>
      <c r="X64" s="54"/>
      <c r="Y64" s="194"/>
      <c r="Z64" s="219"/>
      <c r="AA64" s="194"/>
      <c r="AB64" s="6"/>
      <c r="AC64" s="697" t="s">
        <v>162</v>
      </c>
      <c r="AD64" s="21"/>
      <c r="AE64" s="21"/>
      <c r="AF64" s="27">
        <f t="shared" si="14"/>
        <v>0</v>
      </c>
      <c r="AG64" s="21"/>
      <c r="AH64" s="696">
        <v>0</v>
      </c>
      <c r="AI64" s="697"/>
      <c r="AJ64" s="696">
        <v>0</v>
      </c>
      <c r="AK64" s="696">
        <v>0</v>
      </c>
      <c r="AL64" s="12"/>
      <c r="AM64" s="1104"/>
      <c r="AN64" s="697" t="s">
        <v>162</v>
      </c>
      <c r="AO64" s="21"/>
      <c r="AP64" s="21"/>
      <c r="AQ64" s="27">
        <f t="shared" si="15"/>
        <v>0</v>
      </c>
      <c r="AR64" s="21"/>
      <c r="AS64" s="696">
        <v>0</v>
      </c>
      <c r="AT64" s="697"/>
      <c r="AU64" s="696">
        <v>0</v>
      </c>
      <c r="AV64" s="696">
        <v>0</v>
      </c>
      <c r="AW64" s="1111"/>
      <c r="AX64" s="1104"/>
      <c r="AY64" s="697" t="s">
        <v>162</v>
      </c>
      <c r="AZ64" s="21"/>
      <c r="BA64" s="21"/>
      <c r="BB64" s="27">
        <f t="shared" si="16"/>
        <v>0</v>
      </c>
      <c r="BC64" s="21"/>
      <c r="BD64" s="696">
        <v>0</v>
      </c>
      <c r="BE64" s="697"/>
      <c r="BF64" s="696">
        <v>0</v>
      </c>
      <c r="BG64" s="696">
        <v>0</v>
      </c>
      <c r="BH64" s="1111"/>
      <c r="BI64" s="1104"/>
      <c r="BJ64" s="697" t="s">
        <v>162</v>
      </c>
      <c r="BK64" s="21"/>
      <c r="BL64" s="21"/>
      <c r="BM64" s="27">
        <f t="shared" si="17"/>
        <v>0</v>
      </c>
      <c r="BN64" s="21"/>
      <c r="BO64" s="696">
        <v>0</v>
      </c>
      <c r="BP64" s="697"/>
      <c r="BQ64" s="696">
        <v>0</v>
      </c>
      <c r="BR64" s="696">
        <v>0</v>
      </c>
      <c r="BS64" s="1111"/>
    </row>
    <row r="65" spans="1:144" ht="12" customHeight="1">
      <c r="A65" s="6"/>
      <c r="B65" s="28" t="s">
        <v>187</v>
      </c>
      <c r="C65" s="45" t="str">
        <f>IF($D$2="ENERGY","Capital Renewal Funds………………………………………………….......................................................……………………………………………..……...……………….","Donor / Auxiliary / Other Funds……………...................….........................................................................................................................................................................................")</f>
        <v>Donor / Auxiliary / Other Funds……………...................….........................................................................................................................................................................................</v>
      </c>
      <c r="D65" s="15"/>
      <c r="E65" s="687"/>
      <c r="F65" s="687"/>
      <c r="G65" s="15"/>
      <c r="H65" s="15"/>
      <c r="I65" s="15"/>
      <c r="J65" s="15"/>
      <c r="K65" s="15"/>
      <c r="L65" s="15"/>
      <c r="M65" s="15"/>
      <c r="N65" s="15"/>
      <c r="O65" s="15"/>
      <c r="P65" s="15"/>
      <c r="Q65" s="15"/>
      <c r="R65" s="39"/>
      <c r="S65" s="15"/>
      <c r="T65" s="38" t="s">
        <v>72</v>
      </c>
      <c r="U65" s="696"/>
      <c r="X65" s="54"/>
      <c r="Y65" s="194"/>
      <c r="Z65" s="219"/>
      <c r="AA65" s="194"/>
      <c r="AB65" s="6"/>
      <c r="AC65" s="44" t="s">
        <v>188</v>
      </c>
      <c r="AD65" s="40"/>
      <c r="AE65" s="12"/>
      <c r="AF65" s="13" t="e">
        <f t="shared" si="14"/>
        <v>#DIV/0!</v>
      </c>
      <c r="AG65" s="12"/>
      <c r="AH65" s="13" t="e">
        <f>ROUND(SUM(AH19:AH64),-3)</f>
        <v>#DIV/0!</v>
      </c>
      <c r="AI65" s="13"/>
      <c r="AJ65" s="13" t="e">
        <f>ROUND(SUM(AJ19:AJ64),-3)</f>
        <v>#DIV/0!</v>
      </c>
      <c r="AK65" s="13" t="e">
        <f>ROUND(SUM(AK19:AK64),-3)</f>
        <v>#DIV/0!</v>
      </c>
      <c r="AL65" s="12"/>
      <c r="AM65" s="1104"/>
      <c r="AN65" s="29" t="s">
        <v>188</v>
      </c>
      <c r="AO65" s="159"/>
      <c r="AP65" s="3"/>
      <c r="AQ65" s="1232" t="e">
        <f>AS65+AU65+AV65</f>
        <v>#DIV/0!</v>
      </c>
      <c r="AR65" s="1135"/>
      <c r="AS65" s="1232" t="e">
        <f>ROUND(SUM(AS19:AS62),-3)</f>
        <v>#DIV/0!</v>
      </c>
      <c r="AT65" s="1232"/>
      <c r="AU65" s="1232" t="e">
        <f>ROUND(SUM(AU19:AU62),-3)</f>
        <v>#DIV/0!</v>
      </c>
      <c r="AV65" s="1232" t="e">
        <f>ROUND(SUM(AV19:AV62),-3)</f>
        <v>#DIV/0!</v>
      </c>
      <c r="AW65" s="1111"/>
      <c r="AX65" s="1104"/>
      <c r="AY65" s="29" t="s">
        <v>188</v>
      </c>
      <c r="AZ65" s="159"/>
      <c r="BA65" s="3"/>
      <c r="BB65" s="1232" t="e">
        <f>BD65+BF65+BG65</f>
        <v>#DIV/0!</v>
      </c>
      <c r="BC65" s="1232"/>
      <c r="BD65" s="1232" t="e">
        <f>ROUND(SUM(BD19:BD62),-3)</f>
        <v>#DIV/0!</v>
      </c>
      <c r="BE65" s="1232"/>
      <c r="BF65" s="1232" t="e">
        <f>ROUND(SUM(BF19:BF62),-3)</f>
        <v>#DIV/0!</v>
      </c>
      <c r="BG65" s="1232" t="e">
        <f>ROUND(SUM(BG19:BG62),-3)</f>
        <v>#DIV/0!</v>
      </c>
      <c r="BH65" s="1111"/>
      <c r="BI65" s="1104"/>
      <c r="BJ65" s="29" t="s">
        <v>188</v>
      </c>
      <c r="BK65" s="159"/>
      <c r="BL65" s="3"/>
      <c r="BM65" s="1135" t="e">
        <f>BO65+BQ65+BR65</f>
        <v>#DIV/0!</v>
      </c>
      <c r="BN65" s="1135"/>
      <c r="BO65" s="1135" t="e">
        <f>ROUND(SUM(BO19:BO62),-3)</f>
        <v>#DIV/0!</v>
      </c>
      <c r="BP65" s="1135"/>
      <c r="BQ65" s="1135" t="e">
        <f>ROUND(SUM(BQ19:BQ62),-3)</f>
        <v>#DIV/0!</v>
      </c>
      <c r="BR65" s="1135" t="e">
        <f>ROUND(SUM(BR19:BR62),-3)</f>
        <v>#DIV/0!</v>
      </c>
      <c r="BS65" s="1111"/>
    </row>
    <row r="66" spans="1:144" ht="12" customHeight="1">
      <c r="A66" s="113" t="s">
        <v>189</v>
      </c>
      <c r="B66" s="45" t="s">
        <v>190</v>
      </c>
      <c r="C66" s="45"/>
      <c r="D66" s="45"/>
      <c r="E66" s="45"/>
      <c r="F66" s="45"/>
      <c r="G66" s="45"/>
      <c r="H66" s="45"/>
      <c r="I66" s="45"/>
      <c r="J66" s="45"/>
      <c r="K66" s="45"/>
      <c r="L66" s="45"/>
      <c r="M66" s="45"/>
      <c r="N66" s="15"/>
      <c r="O66" s="15"/>
      <c r="P66" s="15"/>
      <c r="Q66" s="15"/>
      <c r="R66" s="38"/>
      <c r="S66" s="37"/>
      <c r="T66" s="38" t="s">
        <v>72</v>
      </c>
      <c r="U66" s="42" t="e">
        <f>W59-U62-U63-U64-U65</f>
        <v>#DIV/0!</v>
      </c>
      <c r="V66" s="31"/>
      <c r="W66" s="183"/>
      <c r="X66" s="54"/>
      <c r="Y66" s="477"/>
      <c r="Z66" s="477"/>
      <c r="AA66" s="194"/>
      <c r="AB66" s="6"/>
      <c r="AC66" s="12"/>
      <c r="AD66" s="12"/>
      <c r="AE66" s="12"/>
      <c r="AF66" s="12"/>
      <c r="AG66" s="12"/>
      <c r="AH66" s="12"/>
      <c r="AI66" s="12"/>
      <c r="AJ66" s="12"/>
      <c r="AK66" s="12"/>
      <c r="AL66" s="12"/>
      <c r="AM66" s="1104"/>
      <c r="AN66" s="1105"/>
      <c r="AO66" s="1106"/>
      <c r="AP66" s="1106"/>
      <c r="AQ66" s="1112"/>
      <c r="AR66" s="1107"/>
      <c r="AS66" s="1108"/>
      <c r="AT66" s="1108"/>
      <c r="AU66" s="1109"/>
      <c r="AV66" s="1110"/>
      <c r="AW66" s="1111"/>
      <c r="AX66" s="1104"/>
      <c r="AY66" s="1105"/>
      <c r="AZ66" s="1106"/>
      <c r="BA66" s="1106"/>
      <c r="BB66" s="1112"/>
      <c r="BC66" s="1107"/>
      <c r="BD66" s="1108"/>
      <c r="BE66" s="1108"/>
      <c r="BF66" s="1109"/>
      <c r="BG66" s="1110"/>
      <c r="BH66" s="1111"/>
      <c r="BI66" s="1104"/>
      <c r="BJ66" s="1105"/>
      <c r="BK66" s="1106"/>
      <c r="BL66" s="1106"/>
      <c r="BM66" s="1112"/>
      <c r="BN66" s="1107"/>
      <c r="BO66" s="1108"/>
      <c r="BP66" s="1108"/>
      <c r="BQ66" s="1109"/>
      <c r="BR66" s="1110"/>
      <c r="BS66" s="1111"/>
    </row>
    <row r="67" spans="1:144" ht="12" customHeight="1">
      <c r="A67" s="6"/>
      <c r="V67" s="37"/>
      <c r="W67" s="32"/>
      <c r="X67" s="54"/>
      <c r="Y67" s="477"/>
      <c r="Z67" s="477"/>
      <c r="AA67" s="935"/>
      <c r="AB67" s="6"/>
      <c r="AC67" s="24" t="s">
        <v>191</v>
      </c>
      <c r="AD67" s="12"/>
      <c r="AE67" s="12"/>
      <c r="AF67" s="183" t="e">
        <f>AH67+AJ67+AK67</f>
        <v>#DIV/0!</v>
      </c>
      <c r="AG67" s="24"/>
      <c r="AH67" s="183" t="e">
        <f>ROUND((AH65+AH14),-3)</f>
        <v>#DIV/0!</v>
      </c>
      <c r="AI67" s="183">
        <f>AI65+AI14</f>
        <v>0</v>
      </c>
      <c r="AJ67" s="183" t="e">
        <f>ROUND((AJ65+AJ14),-3)</f>
        <v>#DIV/0!</v>
      </c>
      <c r="AK67" s="183" t="e">
        <f>ROUND((AK65+AK14),-3)</f>
        <v>#DIV/0!</v>
      </c>
      <c r="AL67" s="12"/>
      <c r="AM67" s="1104"/>
      <c r="AN67" s="24" t="s">
        <v>191</v>
      </c>
      <c r="AO67" s="12"/>
      <c r="AP67" s="12"/>
      <c r="AQ67" s="183" t="e">
        <f>AS67+AU67+AV67</f>
        <v>#DIV/0!</v>
      </c>
      <c r="AR67" s="24"/>
      <c r="AS67" s="183" t="e">
        <f>ROUND((AS65+AS14),-3)</f>
        <v>#DIV/0!</v>
      </c>
      <c r="AT67" s="183">
        <f>AT65+AT6</f>
        <v>0</v>
      </c>
      <c r="AU67" s="183" t="e">
        <f>ROUND((AU65+AU14),-3)</f>
        <v>#DIV/0!</v>
      </c>
      <c r="AV67" s="183" t="e">
        <f>ROUND((AV65+AV14),-3)</f>
        <v>#DIV/0!</v>
      </c>
      <c r="AW67" s="1111"/>
      <c r="AX67" s="1104"/>
      <c r="AY67" s="24" t="s">
        <v>191</v>
      </c>
      <c r="AZ67" s="12"/>
      <c r="BA67" s="12"/>
      <c r="BB67" s="183" t="e">
        <f>BD67+BF67+BG67</f>
        <v>#DIV/0!</v>
      </c>
      <c r="BC67" s="24"/>
      <c r="BD67" s="183" t="e">
        <f>ROUND((BD65+BD14),-3)</f>
        <v>#DIV/0!</v>
      </c>
      <c r="BE67" s="183">
        <f>BE65+BE6</f>
        <v>0</v>
      </c>
      <c r="BF67" s="183" t="e">
        <f>ROUND((BF65+BF14),-3)</f>
        <v>#DIV/0!</v>
      </c>
      <c r="BG67" s="183" t="e">
        <f>ROUND((BG65+BG14),-3)</f>
        <v>#DIV/0!</v>
      </c>
      <c r="BH67" s="1111"/>
      <c r="BI67" s="1104"/>
      <c r="BJ67" s="24" t="s">
        <v>191</v>
      </c>
      <c r="BK67" s="12"/>
      <c r="BL67" s="12"/>
      <c r="BM67" s="183" t="e">
        <f>BO67+BQ67+BR67</f>
        <v>#DIV/0!</v>
      </c>
      <c r="BN67" s="24"/>
      <c r="BO67" s="183" t="e">
        <f>ROUND((BO65+BO14),-3)</f>
        <v>#DIV/0!</v>
      </c>
      <c r="BP67" s="183">
        <f>BP65+BP6</f>
        <v>0</v>
      </c>
      <c r="BQ67" s="183" t="e">
        <f>ROUND((BQ65+BQ14),-3)</f>
        <v>#DIV/0!</v>
      </c>
      <c r="BR67" s="183" t="e">
        <f>ROUND((BR65+BR14),-3)</f>
        <v>#DIV/0!</v>
      </c>
      <c r="BS67" s="1111"/>
    </row>
    <row r="68" spans="1:144" ht="12" customHeight="1">
      <c r="A68" s="6"/>
      <c r="W68" s="13"/>
      <c r="X68" s="54"/>
      <c r="Y68" s="477"/>
      <c r="Z68" s="477"/>
      <c r="AA68" s="194"/>
      <c r="AB68" s="6"/>
      <c r="AC68" s="12"/>
      <c r="AD68" s="12"/>
      <c r="AE68" s="12"/>
      <c r="AF68" s="12"/>
      <c r="AG68" s="12"/>
      <c r="AH68" s="12"/>
      <c r="AI68" s="12"/>
      <c r="AJ68" s="12"/>
      <c r="AK68" s="12"/>
      <c r="AL68" s="12"/>
      <c r="AM68" s="1119"/>
      <c r="AN68" s="154"/>
      <c r="AO68" s="1120"/>
      <c r="AP68" s="154"/>
      <c r="AQ68" s="1120"/>
      <c r="AR68" s="1120"/>
      <c r="AS68" s="1120"/>
      <c r="AT68" s="1121"/>
      <c r="AU68" s="1122"/>
      <c r="AV68" s="1123"/>
      <c r="AW68" s="1124"/>
      <c r="AX68" s="1119"/>
      <c r="AY68" s="154"/>
      <c r="AZ68" s="1120"/>
      <c r="BA68" s="154"/>
      <c r="BB68" s="1120"/>
      <c r="BC68" s="1120"/>
      <c r="BD68" s="1120"/>
      <c r="BE68" s="1121"/>
      <c r="BF68" s="1122"/>
      <c r="BG68" s="1123"/>
      <c r="BH68" s="1124"/>
      <c r="BI68" s="1119"/>
      <c r="BJ68" s="154"/>
      <c r="BK68" s="1120"/>
      <c r="BL68" s="154"/>
      <c r="BM68" s="1120"/>
      <c r="BN68" s="1120"/>
      <c r="BO68" s="1120"/>
      <c r="BP68" s="1121"/>
      <c r="BQ68" s="1122"/>
      <c r="BR68" s="1123"/>
      <c r="BS68" s="1124"/>
    </row>
    <row r="69" spans="1:144" ht="12" customHeight="1">
      <c r="A69" s="113" t="s">
        <v>192</v>
      </c>
      <c r="B69" s="15" t="s">
        <v>193</v>
      </c>
      <c r="C69" s="15"/>
      <c r="D69" s="15"/>
      <c r="E69" s="15"/>
      <c r="F69" s="15"/>
      <c r="G69" s="15"/>
      <c r="H69" s="15"/>
      <c r="I69" s="15"/>
      <c r="J69" s="15"/>
      <c r="K69" s="15"/>
      <c r="L69" s="15"/>
      <c r="M69" s="15"/>
      <c r="N69" s="15"/>
      <c r="O69" s="1198" t="s">
        <v>66</v>
      </c>
      <c r="P69" s="12"/>
      <c r="Q69" s="1198" t="s">
        <v>67</v>
      </c>
      <c r="R69" s="35"/>
      <c r="S69" s="1198" t="s">
        <v>194</v>
      </c>
      <c r="T69" s="35"/>
      <c r="U69" s="1198" t="s">
        <v>69</v>
      </c>
      <c r="W69" s="13"/>
      <c r="X69" s="482"/>
      <c r="Y69" s="477"/>
      <c r="Z69" s="477"/>
      <c r="AA69" s="537"/>
      <c r="AC69" s="70" t="s">
        <v>195</v>
      </c>
      <c r="AL69" s="12"/>
      <c r="AN69" s="12"/>
      <c r="AO69" s="12"/>
      <c r="AP69" s="12"/>
      <c r="AQ69" s="12"/>
      <c r="AR69" s="12"/>
      <c r="AS69" s="12"/>
      <c r="AT69" s="12"/>
      <c r="AU69" s="12"/>
      <c r="AV69" s="12"/>
      <c r="AX69" s="6"/>
      <c r="AY69" s="12"/>
      <c r="AZ69" s="12"/>
      <c r="BA69" s="12"/>
      <c r="BB69" s="12"/>
      <c r="BC69" s="12"/>
      <c r="BD69" s="12"/>
      <c r="BE69" s="12"/>
      <c r="BF69" s="12"/>
      <c r="BG69" s="12"/>
      <c r="BH69" s="16"/>
      <c r="BI69" s="6"/>
      <c r="BJ69" s="12"/>
      <c r="BK69" s="12"/>
      <c r="BL69" s="12"/>
      <c r="BM69" s="12"/>
      <c r="BN69" s="12"/>
      <c r="BO69" s="12"/>
      <c r="BP69" s="12"/>
      <c r="BQ69" s="12"/>
      <c r="BR69" s="12"/>
      <c r="BS69" s="16"/>
    </row>
    <row r="70" spans="1:144" ht="12" customHeight="1">
      <c r="A70" s="6"/>
      <c r="B70" s="15"/>
      <c r="C70" s="15" t="s">
        <v>196</v>
      </c>
      <c r="D70" s="15"/>
      <c r="E70" s="68"/>
      <c r="F70" s="68"/>
      <c r="G70" s="117" t="str">
        <f>X5</f>
        <v>2023/24</v>
      </c>
      <c r="H70" s="15"/>
      <c r="I70" s="15"/>
      <c r="J70" s="15"/>
      <c r="K70" s="15"/>
      <c r="L70" s="15"/>
      <c r="M70" s="39" t="s">
        <v>197</v>
      </c>
      <c r="N70" s="39" t="s">
        <v>72</v>
      </c>
      <c r="O70" s="693"/>
      <c r="P70" s="39" t="s">
        <v>72</v>
      </c>
      <c r="Q70" s="689"/>
      <c r="R70" s="39" t="s">
        <v>72</v>
      </c>
      <c r="S70" s="689"/>
      <c r="T70" s="39" t="s">
        <v>72</v>
      </c>
      <c r="U70" s="689"/>
      <c r="W70" s="13"/>
      <c r="X70" s="54"/>
      <c r="Y70" s="476"/>
      <c r="Z70" s="219"/>
      <c r="AA70" s="537"/>
      <c r="AC70" s="686" t="s">
        <v>198</v>
      </c>
      <c r="AF70" s="5">
        <f>SUM(AH70:AK70)</f>
        <v>0</v>
      </c>
      <c r="AH70" s="1244">
        <v>0</v>
      </c>
      <c r="AI70" s="1244"/>
      <c r="AJ70" s="1244">
        <v>0</v>
      </c>
      <c r="AK70" s="1244">
        <v>0</v>
      </c>
      <c r="AL70" s="12"/>
      <c r="AN70" s="12"/>
      <c r="AO70" s="12"/>
      <c r="AP70" s="12"/>
      <c r="AQ70" s="12"/>
      <c r="AR70" s="12"/>
      <c r="AS70" s="12"/>
      <c r="AT70" s="12"/>
      <c r="AU70" s="12"/>
      <c r="AV70" s="12"/>
      <c r="AX70" s="6"/>
      <c r="AY70" s="12"/>
      <c r="AZ70" s="12"/>
      <c r="BA70" s="12"/>
      <c r="BB70" s="12"/>
      <c r="BC70" s="12"/>
      <c r="BD70" s="12"/>
      <c r="BE70" s="12"/>
      <c r="BF70" s="12"/>
      <c r="BG70" s="12"/>
      <c r="BH70" s="16"/>
      <c r="BI70" s="6"/>
      <c r="BJ70" s="12"/>
      <c r="BK70" s="12"/>
      <c r="BL70" s="12"/>
      <c r="BM70" s="12"/>
      <c r="BN70" s="12"/>
      <c r="BO70" s="12"/>
      <c r="BP70" s="12"/>
      <c r="BQ70" s="12"/>
      <c r="BR70" s="12"/>
      <c r="BS70" s="16"/>
    </row>
    <row r="71" spans="1:144" ht="12" customHeight="1">
      <c r="A71" s="6"/>
      <c r="B71" s="15"/>
      <c r="C71" s="15" t="s">
        <v>199</v>
      </c>
      <c r="D71" s="15"/>
      <c r="E71" s="15"/>
      <c r="F71" s="15"/>
      <c r="G71" s="117" t="str">
        <f>G70</f>
        <v>2023/24</v>
      </c>
      <c r="H71" s="15"/>
      <c r="I71" s="15"/>
      <c r="J71" s="15"/>
      <c r="K71" s="15"/>
      <c r="L71" s="15"/>
      <c r="M71" s="39" t="s">
        <v>197</v>
      </c>
      <c r="N71" s="39" t="s">
        <v>72</v>
      </c>
      <c r="O71" s="693"/>
      <c r="P71" s="39" t="s">
        <v>72</v>
      </c>
      <c r="Q71" s="1101"/>
      <c r="R71" s="39" t="s">
        <v>72</v>
      </c>
      <c r="S71" s="1101"/>
      <c r="T71" s="39" t="s">
        <v>72</v>
      </c>
      <c r="U71" s="1101"/>
      <c r="W71" s="93"/>
      <c r="X71" s="54"/>
      <c r="Y71" s="478"/>
      <c r="Z71" s="478"/>
      <c r="AA71" s="537"/>
      <c r="AC71" s="686" t="s">
        <v>198</v>
      </c>
      <c r="AF71" s="5">
        <f t="shared" ref="AF71:AF74" si="18">SUM(AH71:AK71)</f>
        <v>0</v>
      </c>
      <c r="AH71" s="1244">
        <v>0</v>
      </c>
      <c r="AI71" s="1244"/>
      <c r="AJ71" s="1244">
        <v>0</v>
      </c>
      <c r="AK71" s="1244">
        <v>0</v>
      </c>
      <c r="AL71" s="12"/>
      <c r="AN71" s="12"/>
      <c r="AO71" s="12"/>
      <c r="AP71" s="12"/>
      <c r="AQ71" s="12"/>
      <c r="AR71" s="12"/>
      <c r="AS71" s="12"/>
      <c r="AT71" s="12"/>
      <c r="AU71" s="12"/>
      <c r="AV71" s="12"/>
      <c r="AX71" s="6"/>
      <c r="AY71" s="12"/>
      <c r="AZ71" s="12"/>
      <c r="BA71" s="12"/>
      <c r="BB71" s="12"/>
      <c r="BC71" s="12"/>
      <c r="BD71" s="12"/>
      <c r="BE71" s="12"/>
      <c r="BF71" s="12"/>
      <c r="BG71" s="12"/>
      <c r="BH71" s="16"/>
      <c r="BI71" s="6"/>
      <c r="BJ71" s="12"/>
      <c r="BK71" s="12"/>
      <c r="BL71" s="12"/>
      <c r="BM71" s="12"/>
      <c r="BN71" s="12"/>
      <c r="BO71" s="12"/>
      <c r="BP71" s="12"/>
      <c r="BQ71" s="12"/>
      <c r="BR71" s="12"/>
      <c r="BS71" s="16"/>
    </row>
    <row r="72" spans="1:144" ht="12" customHeight="1">
      <c r="A72" s="113"/>
      <c r="B72" s="15"/>
      <c r="C72" s="15" t="s">
        <v>200</v>
      </c>
      <c r="D72" s="15"/>
      <c r="E72" s="15"/>
      <c r="F72" s="15"/>
      <c r="G72" s="117" t="str">
        <f>G71</f>
        <v>2023/24</v>
      </c>
      <c r="H72" s="15"/>
      <c r="I72" s="15"/>
      <c r="J72" s="15"/>
      <c r="K72" s="15"/>
      <c r="L72" s="15"/>
      <c r="M72" s="39" t="s">
        <v>197</v>
      </c>
      <c r="N72" s="39" t="s">
        <v>72</v>
      </c>
      <c r="O72" s="1100"/>
      <c r="P72" s="39" t="s">
        <v>72</v>
      </c>
      <c r="Q72" s="1101"/>
      <c r="R72" s="39" t="s">
        <v>72</v>
      </c>
      <c r="S72" s="1101"/>
      <c r="T72" s="39" t="s">
        <v>72</v>
      </c>
      <c r="U72" s="1101"/>
      <c r="X72" s="54"/>
      <c r="Y72" s="476"/>
      <c r="Z72" s="476"/>
      <c r="AA72" s="193"/>
      <c r="AB72" s="6"/>
      <c r="AC72" s="686" t="s">
        <v>198</v>
      </c>
      <c r="AF72" s="5">
        <f t="shared" si="18"/>
        <v>0</v>
      </c>
      <c r="AH72" s="1244">
        <v>0</v>
      </c>
      <c r="AI72" s="1244"/>
      <c r="AJ72" s="1244">
        <v>0</v>
      </c>
      <c r="AK72" s="1244">
        <v>0</v>
      </c>
      <c r="AL72" s="12"/>
      <c r="AN72" s="12"/>
      <c r="AO72" s="12"/>
      <c r="AP72" s="12"/>
      <c r="AQ72" s="12"/>
      <c r="AR72" s="12"/>
      <c r="AS72" s="12"/>
      <c r="AT72" s="12"/>
      <c r="AU72" s="12"/>
      <c r="AV72" s="12"/>
      <c r="AX72" s="6"/>
      <c r="AY72" s="12"/>
      <c r="AZ72" s="12"/>
      <c r="BA72" s="12"/>
      <c r="BB72" s="12"/>
      <c r="BC72" s="12"/>
      <c r="BD72" s="12"/>
      <c r="BE72" s="12"/>
      <c r="BF72" s="12"/>
      <c r="BG72" s="12"/>
      <c r="BH72" s="16"/>
      <c r="BI72" s="6"/>
      <c r="BJ72" s="12"/>
      <c r="BK72" s="12"/>
      <c r="BL72" s="12"/>
      <c r="BM72" s="12"/>
      <c r="BN72" s="12"/>
      <c r="BO72" s="12"/>
      <c r="BP72" s="12"/>
      <c r="BQ72" s="12"/>
      <c r="BR72" s="12"/>
      <c r="BS72" s="16"/>
    </row>
    <row r="73" spans="1:144" ht="12" customHeight="1">
      <c r="A73" s="6"/>
      <c r="X73" s="54"/>
      <c r="Y73" s="478"/>
      <c r="Z73" s="478"/>
      <c r="AA73" s="194"/>
      <c r="AB73" s="6"/>
      <c r="AC73" s="686" t="s">
        <v>198</v>
      </c>
      <c r="AF73" s="5">
        <f t="shared" si="18"/>
        <v>0</v>
      </c>
      <c r="AH73" s="1244">
        <v>0</v>
      </c>
      <c r="AI73" s="1244"/>
      <c r="AJ73" s="1244">
        <v>0</v>
      </c>
      <c r="AK73" s="1244">
        <v>0</v>
      </c>
      <c r="AL73" s="12"/>
      <c r="AN73" s="12"/>
      <c r="AO73" s="12"/>
      <c r="AP73" s="12"/>
      <c r="AQ73" s="12"/>
      <c r="AR73" s="12"/>
      <c r="AS73" s="12"/>
      <c r="AT73" s="12"/>
      <c r="AU73" s="12"/>
      <c r="AV73" s="12"/>
      <c r="AX73" s="6"/>
      <c r="AY73" s="12"/>
      <c r="AZ73" s="12"/>
      <c r="BA73" s="12"/>
      <c r="BB73" s="12"/>
      <c r="BC73" s="12"/>
      <c r="BD73" s="12"/>
      <c r="BE73" s="12"/>
      <c r="BF73" s="12"/>
      <c r="BG73" s="12"/>
      <c r="BH73" s="16"/>
      <c r="BI73" s="6"/>
      <c r="BJ73" s="12"/>
      <c r="BK73" s="12"/>
      <c r="BL73" s="12"/>
      <c r="BM73" s="12"/>
      <c r="BN73" s="12"/>
      <c r="BO73" s="12"/>
      <c r="BP73" s="12"/>
      <c r="BQ73" s="12"/>
      <c r="BR73" s="12"/>
      <c r="BS73" s="16"/>
    </row>
    <row r="74" spans="1:144" ht="12" customHeight="1">
      <c r="A74" s="6"/>
      <c r="X74" s="54"/>
      <c r="Y74" s="220"/>
      <c r="Z74" s="220"/>
      <c r="AA74" s="194"/>
      <c r="AB74" s="6"/>
      <c r="AC74" s="686" t="s">
        <v>198</v>
      </c>
      <c r="AD74" s="12"/>
      <c r="AE74" s="12"/>
      <c r="AF74" s="5">
        <f t="shared" si="18"/>
        <v>0</v>
      </c>
      <c r="AG74" s="12"/>
      <c r="AH74" s="306">
        <v>0</v>
      </c>
      <c r="AI74" s="306"/>
      <c r="AJ74" s="306">
        <v>0</v>
      </c>
      <c r="AK74" s="306">
        <v>0</v>
      </c>
      <c r="AL74" s="12"/>
      <c r="AN74" s="12"/>
      <c r="AO74" s="12"/>
      <c r="AP74" s="12"/>
      <c r="AQ74" s="12"/>
      <c r="AR74" s="12"/>
      <c r="AS74" s="12"/>
      <c r="AT74" s="12"/>
      <c r="AU74" s="12"/>
      <c r="AV74" s="12"/>
      <c r="AX74" s="6"/>
      <c r="AY74" s="12"/>
      <c r="AZ74" s="12"/>
      <c r="BA74" s="12"/>
      <c r="BB74" s="12"/>
      <c r="BC74" s="12"/>
      <c r="BD74" s="12"/>
      <c r="BE74" s="12"/>
      <c r="BF74" s="12"/>
      <c r="BG74" s="12"/>
      <c r="BH74" s="16"/>
      <c r="BI74" s="6"/>
      <c r="BJ74" s="12"/>
      <c r="BK74" s="12"/>
      <c r="BL74" s="12"/>
      <c r="BM74" s="12"/>
      <c r="BN74" s="12"/>
      <c r="BO74" s="12"/>
      <c r="BP74" s="12"/>
      <c r="BQ74" s="12"/>
      <c r="BR74" s="12"/>
      <c r="BS74" s="16"/>
    </row>
    <row r="75" spans="1:144" ht="12.95" customHeight="1">
      <c r="A75" s="6"/>
      <c r="O75" s="93" t="s">
        <v>201</v>
      </c>
      <c r="P75" s="92"/>
      <c r="Q75" s="93" t="s">
        <v>24</v>
      </c>
      <c r="R75" s="92"/>
      <c r="S75" s="93" t="s">
        <v>194</v>
      </c>
      <c r="T75" s="92"/>
      <c r="U75" s="93" t="s">
        <v>202</v>
      </c>
      <c r="W75" s="13"/>
      <c r="X75" s="54"/>
      <c r="Y75" s="220"/>
      <c r="Z75" s="220"/>
      <c r="AA75" s="193"/>
      <c r="AB75" s="1243"/>
      <c r="AC75" s="52"/>
      <c r="AD75" s="78" t="s">
        <v>203</v>
      </c>
      <c r="AE75" s="29"/>
      <c r="AF75" s="78">
        <f>SUM(AF70:AF74)</f>
        <v>0</v>
      </c>
      <c r="AG75" s="78"/>
      <c r="AH75" s="78">
        <f>SUM(AH70:AH74)</f>
        <v>0</v>
      </c>
      <c r="AI75" s="78">
        <f t="shared" ref="AI75:AK75" si="19">SUM(AI70:AI74)</f>
        <v>0</v>
      </c>
      <c r="AJ75" s="78">
        <f t="shared" si="19"/>
        <v>0</v>
      </c>
      <c r="AK75" s="78">
        <f t="shared" si="19"/>
        <v>0</v>
      </c>
      <c r="AL75" s="78"/>
      <c r="AM75" s="1243"/>
      <c r="AN75" s="52"/>
      <c r="AO75" s="29"/>
      <c r="AP75" s="29"/>
      <c r="AQ75" s="78"/>
      <c r="AR75" s="78"/>
      <c r="AS75" s="78"/>
      <c r="AT75" s="78"/>
      <c r="AU75" s="78"/>
      <c r="AV75" s="78"/>
      <c r="AW75" s="63"/>
      <c r="AX75" s="1243"/>
      <c r="AY75" s="52"/>
      <c r="AZ75" s="29"/>
      <c r="BA75" s="29"/>
      <c r="BB75" s="78"/>
      <c r="BC75" s="78"/>
      <c r="BD75" s="78"/>
      <c r="BE75" s="78"/>
      <c r="BF75" s="78"/>
      <c r="BG75" s="78"/>
      <c r="BH75" s="63"/>
      <c r="BI75" s="1243"/>
      <c r="BJ75" s="52"/>
      <c r="BK75" s="29"/>
      <c r="BL75" s="29"/>
      <c r="BM75" s="78"/>
      <c r="BN75" s="78"/>
      <c r="BO75" s="78"/>
      <c r="BP75" s="78"/>
      <c r="BQ75" s="78"/>
      <c r="BR75" s="78"/>
      <c r="BS75" s="63"/>
    </row>
    <row r="76" spans="1:144" ht="12" customHeight="1">
      <c r="A76" s="6"/>
      <c r="O76" s="58">
        <f>O24</f>
        <v>0</v>
      </c>
      <c r="P76" s="92" t="s">
        <v>95</v>
      </c>
      <c r="Q76" s="58">
        <f>Q24</f>
        <v>0</v>
      </c>
      <c r="R76" s="5" t="s">
        <v>95</v>
      </c>
      <c r="S76" s="58">
        <f>S24</f>
        <v>0</v>
      </c>
      <c r="T76" s="58" t="s">
        <v>95</v>
      </c>
      <c r="U76" s="58">
        <f>U24</f>
        <v>0</v>
      </c>
      <c r="V76" s="92" t="s">
        <v>95</v>
      </c>
      <c r="W76" s="93"/>
      <c r="X76" s="483"/>
      <c r="Y76" s="220"/>
      <c r="Z76" s="220"/>
      <c r="AA76" s="193"/>
      <c r="AB76" s="1113"/>
      <c r="AC76" s="1242"/>
      <c r="AD76" s="33"/>
      <c r="AE76" s="33"/>
      <c r="AF76" s="45"/>
      <c r="AG76" s="45"/>
      <c r="AH76" s="45"/>
      <c r="AI76" s="45"/>
      <c r="AJ76" s="45"/>
      <c r="AK76" s="1233"/>
      <c r="AL76" s="294"/>
      <c r="AM76" s="46"/>
      <c r="AN76" s="45"/>
      <c r="AO76" s="33"/>
      <c r="AP76" s="33"/>
      <c r="AQ76" s="45"/>
      <c r="AR76" s="45"/>
      <c r="AS76" s="45"/>
      <c r="AT76" s="45"/>
      <c r="AU76" s="45"/>
      <c r="AV76" s="1233"/>
      <c r="AW76" s="1267"/>
      <c r="AX76" s="46"/>
      <c r="AY76" s="45"/>
      <c r="AZ76" s="33"/>
      <c r="BA76" s="33"/>
      <c r="BB76" s="45"/>
      <c r="BC76" s="45"/>
      <c r="BD76" s="45"/>
      <c r="BE76" s="45"/>
      <c r="BF76" s="45"/>
      <c r="BG76" s="1233"/>
      <c r="BH76" s="1267"/>
      <c r="BI76" s="46"/>
      <c r="BJ76" s="45"/>
      <c r="BK76" s="33"/>
      <c r="BL76" s="33"/>
      <c r="BM76" s="45"/>
      <c r="BN76" s="45"/>
      <c r="BO76" s="45"/>
      <c r="BP76" s="45"/>
      <c r="BQ76" s="45"/>
      <c r="BR76" s="1233"/>
      <c r="BS76" s="1267"/>
    </row>
    <row r="77" spans="1:144" ht="12.95" customHeight="1">
      <c r="A77" s="6"/>
      <c r="O77" s="37" t="e">
        <f>AH67+O52</f>
        <v>#DIV/0!</v>
      </c>
      <c r="P77" s="92" t="s">
        <v>49</v>
      </c>
      <c r="Q77" s="37" t="e">
        <f>AS67+Q52</f>
        <v>#DIV/0!</v>
      </c>
      <c r="R77" s="92" t="s">
        <v>49</v>
      </c>
      <c r="S77" s="37" t="e">
        <f>BD67+S52</f>
        <v>#DIV/0!</v>
      </c>
      <c r="T77" s="92" t="s">
        <v>49</v>
      </c>
      <c r="U77" s="37" t="e">
        <f>BO67+U52</f>
        <v>#DIV/0!</v>
      </c>
      <c r="V77" s="92" t="s">
        <v>49</v>
      </c>
      <c r="W77" s="1134"/>
      <c r="X77" s="484"/>
      <c r="Y77" s="220"/>
      <c r="Z77" s="220"/>
      <c r="AA77" s="193"/>
      <c r="AB77" s="46"/>
      <c r="AC77" s="1242"/>
      <c r="AD77" s="1234"/>
      <c r="AE77" s="1234"/>
      <c r="AF77" s="1234"/>
      <c r="AG77" s="1234"/>
      <c r="AH77" s="1234"/>
      <c r="AI77" s="1234"/>
      <c r="AJ77" s="1234"/>
      <c r="AK77" s="116"/>
      <c r="AL77" s="294"/>
      <c r="AM77" s="46"/>
      <c r="AN77" s="33"/>
      <c r="AO77" s="1234"/>
      <c r="AP77" s="1234"/>
      <c r="AQ77" s="1234"/>
      <c r="AR77" s="1234"/>
      <c r="AS77" s="1234"/>
      <c r="AT77" s="1234"/>
      <c r="AU77" s="1234"/>
      <c r="AV77" s="116"/>
      <c r="AW77" s="1267"/>
      <c r="AX77" s="46"/>
      <c r="AY77" s="33"/>
      <c r="AZ77" s="1234"/>
      <c r="BA77" s="1234"/>
      <c r="BB77" s="1234"/>
      <c r="BC77" s="1234"/>
      <c r="BD77" s="1234"/>
      <c r="BE77" s="1234"/>
      <c r="BF77" s="1234"/>
      <c r="BG77" s="116"/>
      <c r="BH77" s="1267"/>
      <c r="BI77" s="46"/>
      <c r="BJ77" s="33"/>
      <c r="BK77" s="1234"/>
      <c r="BL77" s="1234"/>
      <c r="BM77" s="1234"/>
      <c r="BN77" s="1234"/>
      <c r="BO77" s="1234"/>
      <c r="BP77" s="1234"/>
      <c r="BQ77" s="1234"/>
      <c r="BR77" s="116"/>
      <c r="BS77" s="1267"/>
    </row>
    <row r="78" spans="1:144" ht="12.95" customHeight="1" thickBot="1">
      <c r="A78" s="6"/>
      <c r="O78" s="13" t="e">
        <f>AJ67</f>
        <v>#DIV/0!</v>
      </c>
      <c r="P78" s="92" t="s">
        <v>50</v>
      </c>
      <c r="Q78" s="13" t="e">
        <f>AU67</f>
        <v>#DIV/0!</v>
      </c>
      <c r="R78" s="92" t="s">
        <v>50</v>
      </c>
      <c r="S78" s="13" t="e">
        <f>BF67</f>
        <v>#DIV/0!</v>
      </c>
      <c r="T78" s="92" t="s">
        <v>50</v>
      </c>
      <c r="U78" s="13" t="e">
        <f>BQ67</f>
        <v>#DIV/0!</v>
      </c>
      <c r="V78" s="92" t="s">
        <v>50</v>
      </c>
      <c r="W78" s="1134"/>
      <c r="X78" s="484"/>
      <c r="Y78" s="220"/>
      <c r="Z78" s="220"/>
      <c r="AA78" s="193"/>
      <c r="AB78" s="46"/>
      <c r="AC78" s="1242"/>
      <c r="AD78" s="1234"/>
      <c r="AE78" s="1234"/>
      <c r="AF78" s="1234"/>
      <c r="AG78" s="1234"/>
      <c r="AH78" s="1234"/>
      <c r="AI78" s="1234"/>
      <c r="AJ78" s="1234"/>
      <c r="AK78" s="116"/>
      <c r="AL78" s="294"/>
      <c r="AM78" s="46"/>
      <c r="AN78" s="33"/>
      <c r="AO78" s="1234"/>
      <c r="AP78" s="1234"/>
      <c r="AQ78" s="1234"/>
      <c r="AR78" s="1234"/>
      <c r="AS78" s="1234"/>
      <c r="AT78" s="1234"/>
      <c r="AU78" s="1234"/>
      <c r="AV78" s="116"/>
      <c r="AW78" s="1267"/>
      <c r="AX78" s="46"/>
      <c r="AY78" s="33"/>
      <c r="AZ78" s="1234"/>
      <c r="BA78" s="1234"/>
      <c r="BB78" s="1234"/>
      <c r="BC78" s="1234"/>
      <c r="BD78" s="1234"/>
      <c r="BE78" s="1234"/>
      <c r="BF78" s="1234"/>
      <c r="BG78" s="116"/>
      <c r="BH78" s="1267"/>
      <c r="BI78" s="46"/>
      <c r="BJ78" s="33"/>
      <c r="BK78" s="1234"/>
      <c r="BL78" s="1234"/>
      <c r="BM78" s="1234"/>
      <c r="BN78" s="1234"/>
      <c r="BO78" s="1234"/>
      <c r="BP78" s="1234"/>
      <c r="BQ78" s="1234"/>
      <c r="BR78" s="116"/>
      <c r="BS78" s="1267"/>
      <c r="BT78" s="12"/>
      <c r="BU78" s="12"/>
      <c r="BV78" s="12"/>
      <c r="BW78" s="12"/>
      <c r="BX78" s="12"/>
      <c r="BY78" s="12"/>
      <c r="BZ78" s="12"/>
      <c r="CA78" s="12"/>
      <c r="CB78" s="12"/>
      <c r="CC78" s="12"/>
      <c r="CD78" s="12"/>
      <c r="CE78" s="12"/>
      <c r="CF78" s="12"/>
      <c r="CG78" s="12"/>
      <c r="CH78" s="12"/>
      <c r="CI78" s="12"/>
      <c r="CJ78" s="12"/>
      <c r="CK78" s="12"/>
      <c r="CL78" s="12"/>
      <c r="CM78" s="12"/>
      <c r="CN78" s="12"/>
      <c r="CO78" s="12"/>
      <c r="CP78" s="12"/>
      <c r="CQ78" s="12"/>
      <c r="CR78" s="12"/>
      <c r="CS78" s="12"/>
      <c r="CT78" s="12"/>
      <c r="CU78" s="12"/>
      <c r="CV78" s="12"/>
      <c r="CW78" s="12"/>
      <c r="CX78" s="12"/>
      <c r="CY78" s="12"/>
      <c r="CZ78" s="12"/>
      <c r="DA78" s="12"/>
      <c r="DB78" s="12"/>
      <c r="DC78" s="12"/>
      <c r="DD78" s="12"/>
      <c r="DE78" s="12"/>
      <c r="DF78" s="12"/>
      <c r="DG78" s="12"/>
      <c r="DH78" s="12"/>
      <c r="DI78" s="12"/>
      <c r="DJ78" s="12"/>
      <c r="DK78" s="12"/>
      <c r="DL78" s="12"/>
      <c r="DM78" s="12"/>
      <c r="DN78" s="12"/>
      <c r="DO78" s="12"/>
      <c r="DP78" s="12"/>
      <c r="DQ78" s="12"/>
      <c r="DR78" s="12"/>
      <c r="DS78" s="12"/>
      <c r="DT78" s="12"/>
      <c r="DU78" s="12"/>
      <c r="DV78" s="12"/>
      <c r="DW78" s="12"/>
      <c r="DX78" s="12"/>
      <c r="DY78" s="12"/>
      <c r="DZ78" s="12"/>
      <c r="EA78" s="12"/>
      <c r="EB78" s="12"/>
      <c r="EC78" s="12"/>
      <c r="ED78" s="12"/>
      <c r="EE78" s="12"/>
      <c r="EF78" s="12"/>
      <c r="EG78" s="12"/>
      <c r="EH78" s="12"/>
      <c r="EI78" s="12"/>
      <c r="EJ78" s="12"/>
      <c r="EK78" s="12"/>
      <c r="EL78" s="12"/>
      <c r="EM78" s="12"/>
      <c r="EN78" s="12"/>
    </row>
    <row r="79" spans="1:144" ht="11.1" customHeight="1" thickBot="1">
      <c r="A79" s="113"/>
      <c r="B79" s="12"/>
      <c r="C79" s="21"/>
      <c r="D79" s="21"/>
      <c r="E79" s="21"/>
      <c r="F79" s="21"/>
      <c r="G79" s="21"/>
      <c r="H79" s="21"/>
      <c r="I79" s="21"/>
      <c r="J79" s="21"/>
      <c r="K79" s="21"/>
      <c r="L79" s="21"/>
      <c r="M79" s="21"/>
      <c r="N79" s="12"/>
      <c r="O79" s="182" t="e">
        <f>(O40+O44+O45+O46+O54+O47) - IF($D$10="Collaborative Design-Build", AJ14+O44,0)</f>
        <v>#DIV/0!</v>
      </c>
      <c r="P79" s="90" t="s">
        <v>51</v>
      </c>
      <c r="Q79" s="182" t="e">
        <f>(Q40+Q44+Q45+Q46+Q54+Q47) - IF($D$10="Collaborative Design-Build", AL14+Q44,0)</f>
        <v>#DIV/0!</v>
      </c>
      <c r="R79" s="90" t="s">
        <v>51</v>
      </c>
      <c r="S79" s="182" t="e">
        <f>(S45+S44+S46+S54+S40+S47) - IF($D$10="Collaborative Design-Build", AH12+S54,0)</f>
        <v>#DIV/0!</v>
      </c>
      <c r="T79" s="90" t="s">
        <v>51</v>
      </c>
      <c r="U79" s="182" t="e">
        <f>(U40+U46+U45+U44+U54+U47) - IF($D$10="Collaborative Design-Build", AJ12+U45,0)</f>
        <v>#DIV/0!</v>
      </c>
      <c r="V79" s="90" t="s">
        <v>51</v>
      </c>
      <c r="W79" s="659"/>
      <c r="X79" s="485"/>
      <c r="Y79" s="479"/>
      <c r="Z79" s="479"/>
      <c r="AA79" s="193"/>
      <c r="AB79" s="196" t="s">
        <v>204</v>
      </c>
      <c r="AC79" s="191"/>
      <c r="AD79" s="192"/>
      <c r="AE79" s="176"/>
      <c r="AF79" s="177"/>
      <c r="AG79" s="177"/>
      <c r="AH79" s="177"/>
      <c r="AI79" s="177"/>
      <c r="AJ79" s="177"/>
      <c r="AK79" s="177"/>
      <c r="AL79" s="177"/>
      <c r="AM79" s="196" t="s">
        <v>204</v>
      </c>
      <c r="AN79" s="191"/>
      <c r="AO79" s="192"/>
      <c r="AP79" s="192"/>
      <c r="AQ79" s="177"/>
      <c r="AR79" s="177"/>
      <c r="AS79" s="177"/>
      <c r="AT79" s="177"/>
      <c r="AU79" s="177"/>
      <c r="AV79" s="177"/>
      <c r="AW79" s="195"/>
      <c r="AX79" s="196" t="s">
        <v>204</v>
      </c>
      <c r="AY79" s="191"/>
      <c r="AZ79" s="192"/>
      <c r="BA79" s="192"/>
      <c r="BB79" s="177"/>
      <c r="BC79" s="177"/>
      <c r="BD79" s="177"/>
      <c r="BE79" s="177"/>
      <c r="BF79" s="177"/>
      <c r="BG79" s="177"/>
      <c r="BH79" s="195"/>
      <c r="BI79" s="196" t="s">
        <v>204</v>
      </c>
      <c r="BJ79" s="191"/>
      <c r="BK79" s="192"/>
      <c r="BL79" s="192"/>
      <c r="BM79" s="177"/>
      <c r="BN79" s="177"/>
      <c r="BO79" s="177"/>
      <c r="BP79" s="177"/>
      <c r="BQ79" s="177"/>
      <c r="BR79" s="177"/>
      <c r="BS79" s="195"/>
      <c r="BT79" s="12"/>
      <c r="BU79" s="12"/>
      <c r="BV79" s="12"/>
      <c r="BW79" s="12"/>
      <c r="BX79" s="12"/>
      <c r="BY79" s="12"/>
      <c r="BZ79" s="12"/>
      <c r="CA79" s="12"/>
      <c r="CB79" s="12"/>
      <c r="CC79" s="12"/>
      <c r="CD79" s="12"/>
      <c r="CE79" s="12"/>
      <c r="CF79" s="12"/>
      <c r="CG79" s="12"/>
      <c r="CH79" s="12"/>
      <c r="CI79" s="12"/>
      <c r="CJ79" s="12"/>
      <c r="CK79" s="12"/>
      <c r="CL79" s="12"/>
      <c r="CM79" s="12"/>
      <c r="CN79" s="12"/>
      <c r="CO79" s="12"/>
      <c r="CP79" s="12"/>
      <c r="CQ79" s="12"/>
      <c r="CR79" s="12"/>
      <c r="CS79" s="12"/>
      <c r="CT79" s="12"/>
      <c r="CU79" s="12"/>
      <c r="CV79" s="12"/>
      <c r="CW79" s="12"/>
      <c r="CX79" s="12"/>
      <c r="CY79" s="12"/>
      <c r="CZ79" s="12"/>
      <c r="DA79" s="12"/>
      <c r="DB79" s="12"/>
      <c r="DC79" s="12"/>
      <c r="DD79" s="12"/>
      <c r="DE79" s="12"/>
      <c r="DF79" s="12"/>
      <c r="DG79" s="12"/>
      <c r="DH79" s="12"/>
      <c r="DI79" s="12"/>
      <c r="DJ79" s="12"/>
      <c r="DK79" s="12"/>
      <c r="DL79" s="12"/>
      <c r="DM79" s="12"/>
      <c r="DN79" s="12"/>
      <c r="DO79" s="12"/>
      <c r="DP79" s="12"/>
      <c r="DQ79" s="12"/>
      <c r="DR79" s="12"/>
      <c r="DS79" s="12"/>
      <c r="DT79" s="12"/>
      <c r="DU79" s="12"/>
      <c r="DV79" s="12"/>
      <c r="DW79" s="12"/>
      <c r="DX79" s="12"/>
      <c r="DY79" s="12"/>
      <c r="DZ79" s="12"/>
      <c r="EA79" s="12"/>
      <c r="EB79" s="12"/>
      <c r="EC79" s="12"/>
      <c r="ED79" s="12"/>
      <c r="EE79" s="12"/>
      <c r="EF79" s="12"/>
      <c r="EG79" s="12"/>
      <c r="EH79" s="12"/>
      <c r="EI79" s="12"/>
      <c r="EJ79" s="12"/>
      <c r="EK79" s="12"/>
      <c r="EL79" s="12"/>
      <c r="EM79" s="12"/>
      <c r="EN79" s="12"/>
    </row>
    <row r="80" spans="1:144" s="21" customFormat="1" ht="12.75">
      <c r="A80" s="14"/>
      <c r="B80" s="12"/>
      <c r="C80" s="12" t="s">
        <v>205</v>
      </c>
      <c r="D80" s="12"/>
      <c r="E80" s="12"/>
      <c r="F80" s="12"/>
      <c r="G80" s="12"/>
      <c r="H80" s="12"/>
      <c r="I80" s="12"/>
      <c r="J80" s="12"/>
      <c r="K80" s="12"/>
      <c r="L80" s="12"/>
      <c r="M80" s="12"/>
      <c r="N80" s="12"/>
      <c r="O80" s="13" t="e">
        <f>SUM(O76:O79)</f>
        <v>#DIV/0!</v>
      </c>
      <c r="P80" s="90"/>
      <c r="Q80" s="13" t="e">
        <f>SUM(Q76:Q79)</f>
        <v>#DIV/0!</v>
      </c>
      <c r="R80" s="90"/>
      <c r="S80" s="13" t="e">
        <f>SUM(S76:S79)</f>
        <v>#DIV/0!</v>
      </c>
      <c r="T80" s="90"/>
      <c r="U80" s="13" t="e">
        <f>SUM(U76:U79)</f>
        <v>#DIV/0!</v>
      </c>
      <c r="V80" s="90"/>
      <c r="W80" s="1134"/>
      <c r="X80" s="485"/>
      <c r="Y80" s="480"/>
      <c r="Z80" s="480"/>
      <c r="AA80" s="193"/>
      <c r="AB80" s="197"/>
      <c r="AC80" s="193" t="s">
        <v>206</v>
      </c>
      <c r="AD80" s="297"/>
      <c r="AE80" s="297"/>
      <c r="AF80" s="297"/>
      <c r="AG80" s="297"/>
      <c r="AH80" s="297"/>
      <c r="AI80" s="297"/>
      <c r="AJ80" s="297"/>
      <c r="AK80" s="298"/>
      <c r="AL80" s="298">
        <f>ROUND(((O40)*0.005),-3)</f>
        <v>0</v>
      </c>
      <c r="AM80" s="199"/>
      <c r="AN80" s="193" t="s">
        <v>206</v>
      </c>
      <c r="AO80" s="297"/>
      <c r="AP80" s="297"/>
      <c r="AQ80" s="297"/>
      <c r="AR80" s="297"/>
      <c r="AS80" s="297"/>
      <c r="AT80" s="297"/>
      <c r="AU80" s="297"/>
      <c r="AV80" s="298"/>
      <c r="AW80" s="299">
        <f>ROUND(((Q40)*0.005),-3)</f>
        <v>0</v>
      </c>
      <c r="AX80" s="199"/>
      <c r="AY80" s="193" t="s">
        <v>206</v>
      </c>
      <c r="AZ80" s="297"/>
      <c r="BA80" s="297"/>
      <c r="BB80" s="297"/>
      <c r="BC80" s="297"/>
      <c r="BD80" s="297"/>
      <c r="BE80" s="297"/>
      <c r="BF80" s="297"/>
      <c r="BG80" s="298"/>
      <c r="BH80" s="299">
        <f>ROUND(((S40)*0.005),-3)</f>
        <v>0</v>
      </c>
      <c r="BI80" s="199"/>
      <c r="BJ80" s="193" t="s">
        <v>206</v>
      </c>
      <c r="BK80" s="297"/>
      <c r="BL80" s="297"/>
      <c r="BM80" s="297"/>
      <c r="BN80" s="297"/>
      <c r="BO80" s="297"/>
      <c r="BP80" s="297"/>
      <c r="BQ80" s="297"/>
      <c r="BR80" s="298"/>
      <c r="BS80" s="299">
        <f>ROUND(((U40)*0.005),-3)</f>
        <v>0</v>
      </c>
      <c r="BT80" s="12"/>
      <c r="BU80" s="12"/>
      <c r="BV80" s="12"/>
      <c r="BW80" s="12"/>
      <c r="BX80" s="12"/>
      <c r="BY80" s="12"/>
      <c r="BZ80" s="12"/>
      <c r="CA80" s="12"/>
      <c r="CB80" s="12"/>
      <c r="CC80" s="12"/>
      <c r="CD80" s="12"/>
      <c r="CE80" s="12"/>
      <c r="CF80" s="12"/>
      <c r="CG80" s="12"/>
      <c r="CH80" s="12"/>
      <c r="CI80" s="12"/>
      <c r="CJ80" s="12"/>
      <c r="CK80" s="12"/>
      <c r="CL80" s="12"/>
      <c r="CM80" s="12"/>
      <c r="CN80" s="12"/>
      <c r="CO80" s="12"/>
      <c r="CP80" s="12"/>
      <c r="CQ80" s="12"/>
      <c r="CR80" s="12"/>
      <c r="CS80" s="12"/>
      <c r="CT80" s="12"/>
      <c r="CU80" s="12"/>
      <c r="CV80" s="12"/>
      <c r="CW80" s="12"/>
      <c r="CX80" s="12"/>
      <c r="CY80" s="12"/>
      <c r="CZ80" s="12"/>
      <c r="DA80" s="12"/>
      <c r="DB80" s="12"/>
      <c r="DC80" s="12"/>
      <c r="DD80" s="12"/>
      <c r="DE80" s="12"/>
      <c r="DF80" s="12"/>
      <c r="DG80" s="12"/>
      <c r="DH80" s="12"/>
      <c r="DI80" s="12"/>
      <c r="DJ80" s="12"/>
      <c r="DK80" s="12"/>
      <c r="DL80" s="12"/>
      <c r="DM80" s="12"/>
      <c r="DN80" s="12"/>
      <c r="DO80" s="12"/>
      <c r="DP80" s="12"/>
      <c r="DQ80" s="12"/>
      <c r="DR80" s="12"/>
      <c r="DS80" s="12"/>
      <c r="DT80" s="12"/>
      <c r="DU80" s="12"/>
      <c r="DV80" s="12"/>
      <c r="DW80" s="12"/>
      <c r="DX80" s="12"/>
      <c r="DY80" s="12"/>
      <c r="DZ80" s="12"/>
      <c r="EA80" s="12"/>
      <c r="EB80" s="12"/>
      <c r="EC80" s="12"/>
      <c r="ED80" s="12"/>
      <c r="EE80" s="12"/>
      <c r="EF80" s="12"/>
      <c r="EG80" s="12"/>
      <c r="EH80" s="12"/>
      <c r="EI80" s="12"/>
      <c r="EJ80" s="12"/>
      <c r="EK80" s="12"/>
      <c r="EL80" s="12"/>
      <c r="EM80" s="12"/>
      <c r="EN80" s="12"/>
    </row>
    <row r="81" spans="1:144">
      <c r="A81" s="14"/>
      <c r="B81" s="12"/>
      <c r="C81" s="12" t="s">
        <v>207</v>
      </c>
      <c r="N81" s="12"/>
      <c r="O81" s="38">
        <f>S58</f>
        <v>0</v>
      </c>
      <c r="P81" s="90" t="s">
        <v>98</v>
      </c>
      <c r="Q81" s="38">
        <f>U58</f>
        <v>0</v>
      </c>
      <c r="R81" s="90" t="s">
        <v>98</v>
      </c>
      <c r="S81" s="38">
        <f>W58</f>
        <v>0</v>
      </c>
      <c r="T81" s="90" t="s">
        <v>98</v>
      </c>
      <c r="U81" s="38">
        <f>Y57</f>
        <v>0</v>
      </c>
      <c r="V81" s="90" t="s">
        <v>98</v>
      </c>
      <c r="W81" s="38"/>
      <c r="X81" s="485"/>
      <c r="Y81" s="480"/>
      <c r="Z81" s="480"/>
      <c r="AA81" s="193"/>
      <c r="AB81" s="198"/>
      <c r="AC81" s="194"/>
      <c r="AD81" s="193"/>
      <c r="AE81" s="193"/>
      <c r="AF81" s="194"/>
      <c r="AG81" s="194"/>
      <c r="AH81" s="194"/>
      <c r="AI81" s="194"/>
      <c r="AJ81" s="194"/>
      <c r="AK81" s="300"/>
      <c r="AL81" s="298"/>
      <c r="AM81" s="198"/>
      <c r="AN81" s="194"/>
      <c r="AO81" s="193"/>
      <c r="AP81" s="193"/>
      <c r="AQ81" s="194"/>
      <c r="AR81" s="194"/>
      <c r="AS81" s="194"/>
      <c r="AT81" s="194"/>
      <c r="AU81" s="194"/>
      <c r="AV81" s="300"/>
      <c r="AW81" s="299"/>
      <c r="AX81" s="198"/>
      <c r="AY81" s="194"/>
      <c r="AZ81" s="193"/>
      <c r="BA81" s="193"/>
      <c r="BB81" s="194"/>
      <c r="BC81" s="194"/>
      <c r="BD81" s="194"/>
      <c r="BE81" s="194"/>
      <c r="BF81" s="194"/>
      <c r="BG81" s="300"/>
      <c r="BH81" s="299"/>
      <c r="BI81" s="198"/>
      <c r="BJ81" s="194"/>
      <c r="BK81" s="193"/>
      <c r="BL81" s="193"/>
      <c r="BM81" s="194"/>
      <c r="BN81" s="194"/>
      <c r="BO81" s="194"/>
      <c r="BP81" s="194"/>
      <c r="BQ81" s="194"/>
      <c r="BR81" s="300"/>
      <c r="BS81" s="299"/>
      <c r="BT81" s="12"/>
      <c r="BU81" s="12"/>
      <c r="BV81" s="12"/>
      <c r="BW81" s="12"/>
      <c r="BX81" s="12"/>
      <c r="BY81" s="12"/>
      <c r="BZ81" s="12"/>
      <c r="CA81" s="12"/>
      <c r="CB81" s="12"/>
      <c r="CC81" s="12"/>
      <c r="CD81" s="12"/>
      <c r="CE81" s="12"/>
      <c r="CF81" s="12"/>
      <c r="CG81" s="12"/>
      <c r="CH81" s="12"/>
      <c r="CI81" s="12"/>
      <c r="CJ81" s="12"/>
      <c r="CK81" s="12"/>
      <c r="CL81" s="12"/>
      <c r="CM81" s="12"/>
      <c r="CN81" s="12"/>
      <c r="CO81" s="12"/>
      <c r="CP81" s="12"/>
      <c r="CQ81" s="12"/>
      <c r="CR81" s="12"/>
      <c r="CS81" s="12"/>
      <c r="CT81" s="12"/>
      <c r="CU81" s="12"/>
      <c r="CV81" s="12"/>
      <c r="CW81" s="12"/>
      <c r="CX81" s="12"/>
      <c r="CY81" s="12"/>
      <c r="CZ81" s="12"/>
      <c r="DA81" s="12"/>
      <c r="DB81" s="12"/>
      <c r="DC81" s="12"/>
      <c r="DD81" s="12"/>
      <c r="DE81" s="12"/>
      <c r="DF81" s="12"/>
      <c r="DG81" s="12"/>
      <c r="DH81" s="12"/>
      <c r="DI81" s="12"/>
      <c r="DJ81" s="12"/>
      <c r="DK81" s="12"/>
      <c r="DL81" s="12"/>
      <c r="DM81" s="12"/>
      <c r="DN81" s="12"/>
      <c r="DO81" s="12"/>
      <c r="DP81" s="12"/>
      <c r="DQ81" s="12"/>
      <c r="DR81" s="12"/>
      <c r="DS81" s="12"/>
      <c r="DT81" s="12"/>
      <c r="DU81" s="12"/>
      <c r="DV81" s="12"/>
      <c r="DW81" s="12"/>
      <c r="DX81" s="12"/>
      <c r="DY81" s="12"/>
      <c r="DZ81" s="12"/>
      <c r="EA81" s="12"/>
      <c r="EB81" s="12"/>
      <c r="EC81" s="12"/>
      <c r="ED81" s="12"/>
      <c r="EE81" s="12"/>
      <c r="EF81" s="12"/>
      <c r="EG81" s="12"/>
      <c r="EH81" s="12"/>
      <c r="EI81" s="12"/>
      <c r="EJ81" s="12"/>
      <c r="EK81" s="12"/>
      <c r="EL81" s="12"/>
      <c r="EM81" s="12"/>
      <c r="EN81" s="12"/>
    </row>
    <row r="82" spans="1:144" ht="12.75" thickBot="1">
      <c r="A82" s="1249"/>
      <c r="B82" s="1250"/>
      <c r="C82" s="1250"/>
      <c r="D82" s="1250"/>
      <c r="E82" s="1250"/>
      <c r="F82" s="1250"/>
      <c r="G82" s="1250"/>
      <c r="H82" s="1250"/>
      <c r="I82" s="1250"/>
      <c r="J82" s="1250"/>
      <c r="K82" s="1250"/>
      <c r="L82" s="1250"/>
      <c r="M82" s="1250"/>
      <c r="N82" s="1250"/>
      <c r="O82" s="1250"/>
      <c r="P82" s="1250"/>
      <c r="Q82" s="1251"/>
      <c r="R82" s="1251"/>
      <c r="S82" s="1251"/>
      <c r="T82" s="1250"/>
      <c r="U82" s="1252"/>
      <c r="V82" s="1253"/>
      <c r="W82" s="1254"/>
      <c r="X82" s="1255"/>
      <c r="Y82" s="1256"/>
      <c r="Z82" s="1256"/>
      <c r="AA82" s="1257"/>
      <c r="AB82" s="1258"/>
      <c r="AC82" s="1259"/>
      <c r="AD82" s="1259"/>
      <c r="AE82" s="1259"/>
      <c r="AF82" s="1259"/>
      <c r="AG82" s="1259"/>
      <c r="AH82" s="1259"/>
      <c r="AI82" s="1259"/>
      <c r="AJ82" s="1259"/>
      <c r="AK82" s="1224" t="s">
        <v>208</v>
      </c>
      <c r="AL82" s="1266">
        <f>SUM(AL80:AL81)</f>
        <v>0</v>
      </c>
      <c r="AM82" s="1258"/>
      <c r="AN82" s="1259"/>
      <c r="AO82" s="1259"/>
      <c r="AP82" s="1259"/>
      <c r="AQ82" s="1259"/>
      <c r="AR82" s="1259"/>
      <c r="AS82" s="1259"/>
      <c r="AT82" s="1259"/>
      <c r="AU82" s="1259"/>
      <c r="AV82" s="1224" t="s">
        <v>208</v>
      </c>
      <c r="AW82" s="301">
        <f>SUM(AW80:AW81)</f>
        <v>0</v>
      </c>
      <c r="AX82" s="1258"/>
      <c r="AY82" s="1259"/>
      <c r="AZ82" s="1259"/>
      <c r="BA82" s="1259"/>
      <c r="BB82" s="1259"/>
      <c r="BC82" s="1259"/>
      <c r="BD82" s="1259"/>
      <c r="BE82" s="1259"/>
      <c r="BF82" s="1259"/>
      <c r="BG82" s="1224" t="s">
        <v>208</v>
      </c>
      <c r="BH82" s="301">
        <f>SUM(BH80:BH81)</f>
        <v>0</v>
      </c>
      <c r="BI82" s="1258"/>
      <c r="BJ82" s="1259"/>
      <c r="BK82" s="1259"/>
      <c r="BL82" s="1259"/>
      <c r="BM82" s="1259"/>
      <c r="BN82" s="1259"/>
      <c r="BO82" s="1259"/>
      <c r="BP82" s="1259"/>
      <c r="BQ82" s="1259"/>
      <c r="BR82" s="1224" t="s">
        <v>208</v>
      </c>
      <c r="BS82" s="301">
        <f>SUM(BS80:BS81)</f>
        <v>0</v>
      </c>
      <c r="BT82" s="1235"/>
      <c r="BU82" s="1235"/>
      <c r="BV82" s="1235"/>
      <c r="BW82" s="1235"/>
      <c r="BX82" s="1235"/>
      <c r="BY82" s="1235"/>
      <c r="BZ82" s="1235"/>
      <c r="CA82" s="1235"/>
      <c r="CB82" s="1235"/>
      <c r="CC82" s="1235"/>
      <c r="CD82" s="1235"/>
      <c r="CE82" s="1235"/>
      <c r="CF82" s="1235"/>
      <c r="CG82" s="1235"/>
      <c r="CH82" s="1235"/>
      <c r="CI82" s="1235"/>
      <c r="CJ82" s="1235"/>
      <c r="CK82" s="1235"/>
      <c r="CL82" s="1235"/>
      <c r="CM82" s="1235"/>
      <c r="CN82" s="1235"/>
      <c r="CO82" s="1235"/>
      <c r="CP82" s="1235"/>
      <c r="CQ82" s="1235"/>
      <c r="CR82" s="1235"/>
      <c r="CS82" s="1235"/>
      <c r="CT82" s="1235"/>
      <c r="CU82" s="1235"/>
      <c r="CV82" s="1235"/>
      <c r="CW82" s="1235"/>
      <c r="CX82" s="1235"/>
      <c r="CY82" s="1235"/>
      <c r="CZ82" s="1235"/>
      <c r="DA82" s="1235"/>
      <c r="DB82" s="1235"/>
      <c r="DC82" s="1235"/>
      <c r="DD82" s="1235"/>
      <c r="DE82" s="1235"/>
      <c r="DF82" s="1235"/>
      <c r="DG82" s="1235"/>
      <c r="DH82" s="1235"/>
      <c r="DI82" s="1235"/>
      <c r="DJ82" s="1235"/>
      <c r="DK82" s="1235"/>
      <c r="DL82" s="1235"/>
      <c r="DM82" s="1235"/>
      <c r="DN82" s="1235"/>
      <c r="DO82" s="1235"/>
      <c r="DP82" s="1235"/>
      <c r="DQ82" s="1235"/>
      <c r="DR82" s="1235"/>
      <c r="DS82" s="1235"/>
      <c r="DT82" s="1235"/>
      <c r="DU82" s="1235"/>
      <c r="DV82" s="1235"/>
      <c r="DW82" s="1235"/>
      <c r="DX82" s="1235"/>
      <c r="DY82" s="1235"/>
      <c r="DZ82" s="1235"/>
      <c r="EA82" s="1235"/>
      <c r="EB82" s="1235"/>
      <c r="EC82" s="1235"/>
      <c r="ED82" s="1235"/>
      <c r="EE82" s="1235"/>
      <c r="EF82" s="1235"/>
      <c r="EG82" s="1235"/>
      <c r="EH82" s="1235"/>
      <c r="EI82" s="1235"/>
      <c r="EJ82" s="1235"/>
      <c r="EK82" s="1235"/>
      <c r="EL82" s="1235"/>
      <c r="EM82" s="1235"/>
      <c r="EN82" s="1235"/>
    </row>
    <row r="83" spans="1:144" s="218" customFormat="1" ht="12" customHeight="1">
      <c r="A83" s="1247"/>
      <c r="B83" s="1247"/>
      <c r="C83" s="33"/>
      <c r="D83" s="33"/>
      <c r="E83" s="33"/>
      <c r="F83" s="33"/>
      <c r="G83" s="33"/>
      <c r="H83" s="33"/>
      <c r="I83" s="33"/>
      <c r="J83" s="33"/>
      <c r="K83" s="33"/>
      <c r="L83" s="33"/>
      <c r="M83" s="33"/>
      <c r="N83" s="1247"/>
      <c r="O83" s="33"/>
      <c r="P83" s="1247"/>
      <c r="Q83" s="1247"/>
      <c r="R83" s="1247"/>
      <c r="S83" s="110"/>
      <c r="T83" s="110"/>
      <c r="U83" s="110"/>
      <c r="V83" s="57"/>
      <c r="W83" s="110"/>
      <c r="X83" s="57"/>
      <c r="Y83" s="1248"/>
      <c r="Z83" s="1248"/>
      <c r="AA83" s="33"/>
      <c r="AB83" s="1260"/>
      <c r="AC83" s="1235"/>
      <c r="AD83" s="1235"/>
      <c r="AE83" s="1235"/>
      <c r="AF83" s="1235"/>
      <c r="AG83" s="1235"/>
      <c r="AH83" s="1235"/>
      <c r="AI83" s="1235"/>
      <c r="AJ83" s="1235"/>
      <c r="AK83" s="1235"/>
      <c r="AL83" s="1235"/>
      <c r="AM83" s="1235"/>
      <c r="AN83" s="1235"/>
      <c r="AO83" s="1235"/>
      <c r="AP83" s="1235"/>
      <c r="AQ83" s="1235"/>
      <c r="AR83" s="1235"/>
      <c r="AS83" s="1235"/>
      <c r="AT83" s="1235"/>
      <c r="AU83" s="1235"/>
      <c r="AV83" s="1235"/>
      <c r="AW83" s="1235"/>
      <c r="AX83" s="1235"/>
      <c r="AY83" s="1235"/>
      <c r="AZ83" s="1235"/>
      <c r="BA83" s="1235"/>
      <c r="BB83" s="1235"/>
      <c r="BC83" s="1235"/>
      <c r="BD83" s="1235"/>
      <c r="BE83" s="1235"/>
      <c r="BF83" s="1235"/>
      <c r="BG83" s="1235"/>
      <c r="BH83" s="1235"/>
      <c r="BI83" s="1235"/>
      <c r="BJ83" s="1235"/>
      <c r="BK83" s="1235"/>
      <c r="BL83" s="1235"/>
      <c r="BM83" s="1235"/>
      <c r="BN83" s="1235"/>
      <c r="BO83" s="1235"/>
      <c r="BP83" s="1235"/>
      <c r="BQ83" s="1235"/>
      <c r="BR83" s="1235"/>
      <c r="BS83" s="1235"/>
      <c r="BT83" s="1235"/>
      <c r="BU83" s="1235"/>
      <c r="BV83" s="1235"/>
      <c r="BW83" s="1235"/>
      <c r="BX83" s="1235"/>
      <c r="BY83" s="1235"/>
      <c r="BZ83" s="1235"/>
      <c r="CA83" s="1235"/>
      <c r="CB83" s="1235"/>
      <c r="CC83" s="1235"/>
      <c r="CD83" s="1235"/>
      <c r="CE83" s="1235"/>
      <c r="CF83" s="1235"/>
      <c r="CG83" s="1235"/>
      <c r="CH83" s="1235"/>
      <c r="CI83" s="1235"/>
      <c r="CJ83" s="1235"/>
      <c r="CK83" s="1235"/>
      <c r="CL83" s="1235"/>
      <c r="CM83" s="1235"/>
      <c r="CN83" s="1235"/>
      <c r="CO83" s="1235"/>
      <c r="CP83" s="1235"/>
      <c r="CQ83" s="1235"/>
      <c r="CR83" s="1235"/>
      <c r="CS83" s="1235"/>
      <c r="CT83" s="1235"/>
      <c r="CU83" s="1235"/>
      <c r="CV83" s="1235"/>
      <c r="CW83" s="1235"/>
      <c r="CX83" s="1235"/>
      <c r="CY83" s="1235"/>
      <c r="CZ83" s="1235"/>
      <c r="DA83" s="1235"/>
      <c r="DB83" s="1235"/>
      <c r="DC83" s="1235"/>
      <c r="DD83" s="1235"/>
      <c r="DE83" s="1235"/>
      <c r="DF83" s="1235"/>
      <c r="DG83" s="1235"/>
      <c r="DH83" s="1235"/>
      <c r="DI83" s="1235"/>
      <c r="DJ83" s="1235"/>
      <c r="DK83" s="1235"/>
      <c r="DL83" s="1235"/>
      <c r="DM83" s="1235"/>
      <c r="DN83" s="1235"/>
      <c r="DO83" s="1235"/>
      <c r="DP83" s="1235"/>
      <c r="DQ83" s="1235"/>
      <c r="DR83" s="1235"/>
      <c r="DS83" s="1235"/>
      <c r="DT83" s="1235"/>
      <c r="DU83" s="1235"/>
      <c r="DV83" s="1235"/>
      <c r="DW83" s="1235"/>
      <c r="DX83" s="1235"/>
      <c r="DY83" s="1235"/>
      <c r="DZ83" s="1235"/>
      <c r="EA83" s="1235"/>
      <c r="EB83" s="1235"/>
      <c r="EC83" s="1235"/>
      <c r="ED83" s="1235"/>
      <c r="EE83" s="1235"/>
      <c r="EF83" s="1235"/>
      <c r="EG83" s="1235"/>
      <c r="EH83" s="1235"/>
      <c r="EI83" s="1235"/>
      <c r="EJ83" s="1235"/>
      <c r="EK83" s="1235"/>
      <c r="EL83" s="1235"/>
      <c r="EM83" s="1235"/>
      <c r="EN83" s="1235"/>
    </row>
    <row r="84" spans="1:144" ht="12" customHeight="1">
      <c r="A84" s="33"/>
      <c r="B84" s="33"/>
      <c r="C84" s="33"/>
      <c r="D84" s="78"/>
      <c r="E84" s="101"/>
      <c r="F84" s="101"/>
      <c r="G84" s="29"/>
      <c r="H84" s="33"/>
      <c r="J84" s="179"/>
      <c r="K84" s="179"/>
      <c r="Y84" s="13"/>
      <c r="Z84" s="13"/>
      <c r="AA84" s="12"/>
      <c r="AB84" s="1235"/>
      <c r="AC84" s="1235"/>
      <c r="AD84" s="1235"/>
      <c r="AE84" s="1235"/>
      <c r="AF84" s="1235"/>
      <c r="AG84" s="1235"/>
      <c r="AH84" s="1235"/>
      <c r="AI84" s="1235"/>
      <c r="AJ84" s="1235"/>
      <c r="AK84" s="1235"/>
      <c r="AL84" s="1235"/>
      <c r="AM84" s="1235"/>
      <c r="AN84" s="1235"/>
      <c r="AO84" s="1235"/>
      <c r="AP84" s="1235"/>
      <c r="AQ84" s="1235"/>
      <c r="AR84" s="1235"/>
      <c r="AS84" s="1235"/>
      <c r="AT84" s="1235"/>
      <c r="AU84" s="1235"/>
      <c r="AV84" s="1235"/>
      <c r="AW84" s="1235"/>
      <c r="AX84" s="1235"/>
      <c r="AY84" s="1235"/>
      <c r="AZ84" s="1235"/>
      <c r="BA84" s="1235"/>
      <c r="BB84" s="1235"/>
      <c r="BC84" s="1235"/>
      <c r="BD84" s="1235"/>
      <c r="BE84" s="1235"/>
      <c r="BF84" s="1235"/>
      <c r="BG84" s="1235"/>
      <c r="BH84" s="1235"/>
      <c r="BI84" s="1235"/>
      <c r="BJ84" s="1235"/>
      <c r="BK84" s="1235"/>
      <c r="BL84" s="1235"/>
      <c r="BM84" s="1235"/>
      <c r="BN84" s="1235"/>
      <c r="BO84" s="1235"/>
      <c r="BP84" s="1235"/>
      <c r="BQ84" s="1235"/>
      <c r="BR84" s="1235"/>
      <c r="BS84" s="1235"/>
      <c r="BT84" s="1235"/>
      <c r="BU84" s="1235"/>
      <c r="BV84" s="1235"/>
      <c r="BW84" s="1235"/>
      <c r="BX84" s="1235"/>
      <c r="BY84" s="1235"/>
      <c r="BZ84" s="1235"/>
      <c r="CA84" s="1235"/>
      <c r="CB84" s="1235"/>
      <c r="CC84" s="1235"/>
      <c r="CD84" s="1235"/>
      <c r="CE84" s="1235"/>
      <c r="CF84" s="1235"/>
      <c r="CG84" s="1235"/>
      <c r="CH84" s="1235"/>
      <c r="CI84" s="1235"/>
      <c r="CJ84" s="1235"/>
      <c r="CK84" s="1235"/>
      <c r="CL84" s="1235"/>
      <c r="CM84" s="1235"/>
      <c r="CN84" s="1235"/>
      <c r="CO84" s="1235"/>
      <c r="CP84" s="1235"/>
      <c r="CQ84" s="1235"/>
      <c r="CR84" s="1235"/>
      <c r="CS84" s="1235"/>
      <c r="CT84" s="1235"/>
      <c r="CU84" s="1235"/>
      <c r="CV84" s="1235"/>
      <c r="CW84" s="1235"/>
      <c r="CX84" s="1235"/>
      <c r="CY84" s="1235"/>
      <c r="CZ84" s="1235"/>
      <c r="DA84" s="1235"/>
      <c r="DB84" s="1235"/>
      <c r="DC84" s="1235"/>
      <c r="DD84" s="1235"/>
      <c r="DE84" s="1235"/>
      <c r="DF84" s="1235"/>
      <c r="DG84" s="1235"/>
      <c r="DH84" s="1235"/>
      <c r="DI84" s="1235"/>
      <c r="DJ84" s="1235"/>
      <c r="DK84" s="1235"/>
      <c r="DL84" s="1235"/>
      <c r="DM84" s="1235"/>
      <c r="DN84" s="1235"/>
      <c r="DO84" s="1235"/>
      <c r="DP84" s="1235"/>
      <c r="DQ84" s="1235"/>
      <c r="DR84" s="1235"/>
      <c r="DS84" s="1235"/>
      <c r="DT84" s="1235"/>
      <c r="DU84" s="1235"/>
      <c r="DV84" s="1235"/>
      <c r="DW84" s="1235"/>
      <c r="DX84" s="1235"/>
      <c r="DY84" s="1235"/>
      <c r="DZ84" s="1235"/>
      <c r="EA84" s="1235"/>
      <c r="EB84" s="1235"/>
      <c r="EC84" s="1235"/>
      <c r="ED84" s="1235"/>
      <c r="EE84" s="1235"/>
      <c r="EF84" s="1235"/>
      <c r="EG84" s="1235"/>
      <c r="EH84" s="1235"/>
      <c r="EI84" s="1235"/>
      <c r="EJ84" s="1235"/>
      <c r="EK84" s="1235"/>
      <c r="EL84" s="1235"/>
      <c r="EM84" s="1235"/>
      <c r="EN84" s="1235"/>
    </row>
    <row r="85" spans="1:144" ht="12" customHeight="1" thickBot="1">
      <c r="A85" s="33"/>
      <c r="B85" s="33"/>
      <c r="C85" s="33"/>
      <c r="D85" s="78"/>
      <c r="E85" s="101"/>
      <c r="F85" s="101"/>
      <c r="G85" s="29"/>
      <c r="H85" s="33"/>
      <c r="I85" s="70"/>
      <c r="J85" s="24"/>
      <c r="K85" s="24"/>
      <c r="O85" s="896" t="s">
        <v>209</v>
      </c>
      <c r="P85" s="456"/>
      <c r="Q85" s="456"/>
      <c r="R85" s="456"/>
      <c r="S85" s="457"/>
      <c r="T85" s="458"/>
      <c r="U85" s="459" t="s">
        <v>33</v>
      </c>
      <c r="V85" s="457"/>
      <c r="W85" s="460" t="s">
        <v>210</v>
      </c>
      <c r="Y85" s="13"/>
      <c r="Z85" s="13"/>
      <c r="AA85" s="12"/>
      <c r="AB85" s="12"/>
      <c r="AC85" s="33"/>
      <c r="AD85" s="33"/>
      <c r="AE85" s="33"/>
      <c r="AF85" s="13"/>
      <c r="AG85" s="12"/>
      <c r="AH85" s="12"/>
      <c r="AI85" s="12"/>
      <c r="AJ85" s="12"/>
      <c r="AK85" s="13"/>
      <c r="AL85" s="13"/>
      <c r="AM85" s="12"/>
      <c r="AN85" s="12"/>
      <c r="AO85" s="12"/>
      <c r="AP85" s="12"/>
      <c r="AQ85" s="12"/>
      <c r="AR85" s="12"/>
      <c r="AS85" s="12"/>
      <c r="AT85" s="12"/>
      <c r="AU85" s="12"/>
      <c r="AV85" s="12"/>
      <c r="AW85" s="12"/>
    </row>
    <row r="86" spans="1:144" ht="12" customHeight="1">
      <c r="A86" s="33"/>
      <c r="B86" s="33"/>
      <c r="C86" s="33"/>
      <c r="D86" s="78"/>
      <c r="E86" s="101"/>
      <c r="F86" s="101"/>
      <c r="G86" s="29"/>
      <c r="H86" s="33"/>
      <c r="I86" s="70"/>
      <c r="J86" s="24"/>
      <c r="K86" s="24"/>
      <c r="O86" s="454" t="s">
        <v>211</v>
      </c>
      <c r="P86" s="33"/>
      <c r="Q86" s="33"/>
      <c r="R86" s="33"/>
      <c r="S86" s="1196" t="s">
        <v>212</v>
      </c>
      <c r="T86" s="57"/>
      <c r="U86" s="148">
        <f>+VLOOKUP(_2013_14,REFERENCE!F21:J54,3)</f>
        <v>6840</v>
      </c>
      <c r="W86" s="452">
        <f>+VLOOKUP(_2013_14,REFERENCE!F21:J54,5)</f>
        <v>3443</v>
      </c>
      <c r="Y86" s="13"/>
      <c r="Z86" s="13"/>
      <c r="AA86" s="12"/>
      <c r="AB86" s="12"/>
      <c r="AC86" s="33"/>
      <c r="AD86" s="33"/>
      <c r="AE86" s="33"/>
      <c r="AF86" s="13"/>
      <c r="AG86" s="12"/>
      <c r="AH86" s="39"/>
      <c r="AI86" s="13"/>
      <c r="AJ86" s="1091"/>
      <c r="AK86" s="13"/>
      <c r="AL86" s="210"/>
      <c r="AM86" s="12"/>
      <c r="AN86" s="12"/>
      <c r="AO86" s="12"/>
      <c r="AP86" s="12"/>
      <c r="AQ86" s="12"/>
      <c r="AR86" s="12"/>
      <c r="AS86" s="12"/>
      <c r="AT86" s="12"/>
      <c r="AU86" s="12"/>
      <c r="AV86" s="12"/>
      <c r="AW86" s="12"/>
    </row>
    <row r="87" spans="1:144" ht="12" customHeight="1">
      <c r="A87" s="33"/>
      <c r="B87" s="33"/>
      <c r="C87" s="33"/>
      <c r="D87" s="78"/>
      <c r="E87" s="101"/>
      <c r="F87" s="101"/>
      <c r="G87" s="29"/>
      <c r="H87" s="33"/>
      <c r="I87" s="70"/>
      <c r="J87" s="24"/>
      <c r="K87" s="24"/>
      <c r="O87" s="455"/>
      <c r="P87" s="184"/>
      <c r="Q87" s="115"/>
      <c r="R87" s="115"/>
      <c r="S87" s="182"/>
      <c r="T87" s="182"/>
      <c r="U87" s="186">
        <f>+X6/U86</f>
        <v>1.5293859649122807</v>
      </c>
      <c r="V87" s="185"/>
      <c r="W87" s="453">
        <f>+X7/W86</f>
        <v>1.4522218995062446</v>
      </c>
      <c r="Y87" s="13"/>
      <c r="Z87" s="13"/>
      <c r="AA87" s="12"/>
      <c r="AB87" s="12"/>
      <c r="AC87" s="12"/>
      <c r="AD87" s="12"/>
      <c r="AE87" s="12"/>
      <c r="AF87" s="13"/>
      <c r="AG87" s="12"/>
      <c r="AH87" s="39"/>
      <c r="AI87" s="13"/>
      <c r="AJ87" s="1091"/>
      <c r="AK87" s="12"/>
      <c r="AL87" s="12"/>
      <c r="AM87" s="12"/>
      <c r="AN87" s="12"/>
      <c r="AO87" s="12"/>
      <c r="AP87" s="12"/>
      <c r="AQ87" s="12"/>
      <c r="AR87" s="12"/>
      <c r="AS87" s="12"/>
      <c r="AT87" s="12"/>
      <c r="AU87" s="12"/>
      <c r="AV87" s="12"/>
      <c r="AW87" s="12"/>
    </row>
    <row r="88" spans="1:144" ht="12" customHeight="1">
      <c r="A88" s="33"/>
      <c r="B88" s="33"/>
      <c r="C88" s="33"/>
      <c r="D88" s="78"/>
      <c r="E88" s="101"/>
      <c r="F88" s="101"/>
      <c r="G88" s="29"/>
      <c r="H88" s="33"/>
      <c r="I88" s="70"/>
      <c r="J88" s="24"/>
      <c r="K88" s="24"/>
      <c r="O88" s="121"/>
      <c r="P88" s="121"/>
      <c r="Q88" s="33"/>
      <c r="R88" s="33"/>
      <c r="S88" s="57"/>
      <c r="T88" s="57"/>
      <c r="U88" s="524"/>
      <c r="V88" s="121"/>
      <c r="W88" s="524"/>
      <c r="Y88" s="13"/>
      <c r="Z88" s="13"/>
      <c r="AA88" s="12"/>
      <c r="AB88" s="12"/>
      <c r="AC88" s="12"/>
      <c r="AD88" s="12"/>
      <c r="AE88" s="12"/>
      <c r="AF88" s="13"/>
      <c r="AG88" s="12"/>
      <c r="AH88" s="39"/>
      <c r="AI88" s="13"/>
      <c r="AJ88" s="1091"/>
      <c r="AK88" s="12"/>
      <c r="AL88" s="12"/>
      <c r="AM88" s="12"/>
      <c r="AN88" s="12"/>
      <c r="AO88" s="12"/>
      <c r="AP88" s="12"/>
      <c r="AQ88" s="12"/>
      <c r="AR88" s="12"/>
      <c r="AS88" s="12"/>
      <c r="AT88" s="12"/>
      <c r="AU88" s="12"/>
      <c r="AV88" s="12"/>
      <c r="AW88" s="12"/>
    </row>
    <row r="89" spans="1:144" ht="12" customHeight="1">
      <c r="A89" s="33"/>
      <c r="B89" s="33"/>
      <c r="C89" s="33"/>
      <c r="D89" s="78"/>
      <c r="E89" s="101"/>
      <c r="F89" s="101"/>
      <c r="G89" s="29"/>
      <c r="H89" s="33"/>
      <c r="I89" s="70"/>
      <c r="J89" s="24"/>
      <c r="K89" s="24"/>
      <c r="O89" s="121"/>
      <c r="P89" s="121"/>
      <c r="Q89" s="33"/>
      <c r="R89" s="33"/>
      <c r="S89" s="57"/>
      <c r="T89" s="57"/>
      <c r="U89" s="524"/>
      <c r="V89" s="121"/>
      <c r="W89" s="524"/>
      <c r="Y89" s="13"/>
      <c r="Z89" s="13"/>
      <c r="AA89" s="12"/>
      <c r="AB89" s="12"/>
      <c r="AC89" s="12"/>
      <c r="AD89" s="12"/>
      <c r="AE89" s="12"/>
      <c r="AF89" s="13"/>
      <c r="AG89" s="12"/>
      <c r="AH89" s="39"/>
      <c r="AI89" s="13"/>
      <c r="AJ89" s="1091"/>
      <c r="AK89" s="12"/>
      <c r="AL89" s="12"/>
      <c r="AM89" s="12"/>
      <c r="AN89" s="12"/>
      <c r="AO89" s="12"/>
      <c r="AP89" s="12"/>
      <c r="AQ89" s="12"/>
      <c r="AR89" s="12"/>
      <c r="AS89" s="12"/>
      <c r="AT89" s="12"/>
      <c r="AU89" s="12"/>
      <c r="AV89" s="12"/>
      <c r="AW89" s="12"/>
    </row>
    <row r="90" spans="1:144" ht="12" customHeight="1">
      <c r="A90" s="33"/>
      <c r="B90" s="33"/>
      <c r="C90" s="33"/>
      <c r="D90" s="78"/>
      <c r="E90" s="101"/>
      <c r="F90" s="101"/>
      <c r="G90" s="29"/>
      <c r="H90" s="33"/>
      <c r="I90" s="70"/>
      <c r="J90" s="24"/>
      <c r="K90" s="24"/>
      <c r="O90" s="121"/>
      <c r="P90" s="121"/>
      <c r="Q90" s="33"/>
      <c r="R90" s="33"/>
      <c r="S90" s="57"/>
      <c r="T90" s="57"/>
      <c r="U90" s="524"/>
      <c r="V90" s="121"/>
      <c r="W90" s="524"/>
      <c r="Y90" s="13"/>
      <c r="Z90" s="13"/>
      <c r="AA90" s="12"/>
      <c r="AB90" s="12"/>
      <c r="AC90" s="12"/>
      <c r="AD90" s="12"/>
      <c r="AE90" s="12"/>
      <c r="AF90" s="13"/>
      <c r="AG90" s="12"/>
      <c r="AH90" s="39"/>
      <c r="AI90" s="13"/>
      <c r="AJ90" s="1091"/>
      <c r="AK90" s="12"/>
      <c r="AL90" s="12"/>
      <c r="AM90" s="12"/>
      <c r="AN90" s="12"/>
      <c r="AO90" s="12"/>
      <c r="AP90" s="12"/>
      <c r="AQ90" s="12"/>
      <c r="AR90" s="12"/>
      <c r="AS90" s="12"/>
      <c r="AT90" s="12"/>
      <c r="AU90" s="12"/>
      <c r="AV90" s="12"/>
      <c r="AW90" s="12"/>
    </row>
    <row r="91" spans="1:144" ht="12" customHeight="1">
      <c r="A91" s="33"/>
      <c r="B91" s="33"/>
      <c r="C91" s="33"/>
      <c r="D91" s="78"/>
      <c r="E91" s="101"/>
      <c r="F91" s="101"/>
      <c r="G91" s="29"/>
      <c r="H91" s="33"/>
      <c r="I91" s="70"/>
      <c r="J91" s="24"/>
      <c r="K91" s="24"/>
      <c r="O91" s="121"/>
      <c r="P91" s="121"/>
      <c r="Q91" s="33"/>
      <c r="R91" s="33"/>
      <c r="S91" s="57"/>
      <c r="T91" s="57"/>
      <c r="U91" s="524"/>
      <c r="V91" s="121"/>
      <c r="W91" s="524"/>
      <c r="Y91" s="13"/>
      <c r="Z91" s="13"/>
      <c r="AA91" s="12"/>
      <c r="AB91" s="12"/>
      <c r="AC91" s="12"/>
      <c r="AD91" s="12"/>
      <c r="AE91" s="12"/>
      <c r="AF91" s="13"/>
      <c r="AG91" s="12"/>
      <c r="AH91" s="39"/>
      <c r="AI91" s="13"/>
      <c r="AJ91" s="1091"/>
      <c r="AK91" s="12"/>
      <c r="AL91" s="12"/>
      <c r="AM91" s="12"/>
      <c r="AN91" s="12"/>
      <c r="AO91" s="12"/>
      <c r="AP91" s="12"/>
      <c r="AQ91" s="12"/>
      <c r="AR91" s="12"/>
      <c r="AS91" s="12"/>
      <c r="AT91" s="12"/>
      <c r="AU91" s="12"/>
      <c r="AV91" s="12"/>
      <c r="AW91" s="12"/>
    </row>
    <row r="92" spans="1:144" ht="12" customHeight="1">
      <c r="A92" s="33"/>
      <c r="B92" s="33"/>
      <c r="C92" s="33"/>
      <c r="D92" s="78"/>
      <c r="E92" s="101"/>
      <c r="F92" s="101"/>
      <c r="G92" s="29"/>
      <c r="H92" s="33"/>
      <c r="I92" s="70"/>
      <c r="J92" s="24"/>
      <c r="K92" s="24"/>
      <c r="O92" s="121"/>
      <c r="P92" s="121"/>
      <c r="Q92" s="33"/>
      <c r="R92" s="33"/>
      <c r="S92" s="57"/>
      <c r="T92" s="57"/>
      <c r="U92" s="524"/>
      <c r="V92" s="121"/>
      <c r="W92" s="524"/>
      <c r="Y92" s="13"/>
      <c r="Z92" s="13"/>
      <c r="AA92" s="12"/>
      <c r="AB92" s="12"/>
      <c r="AC92" s="12"/>
      <c r="AD92" s="12"/>
      <c r="AE92" s="12"/>
      <c r="AF92" s="13"/>
      <c r="AG92" s="12"/>
      <c r="AH92" s="39"/>
      <c r="AI92" s="13"/>
      <c r="AJ92" s="1091"/>
      <c r="AK92" s="12"/>
      <c r="AL92" s="12"/>
      <c r="AM92" s="12"/>
      <c r="AN92" s="12"/>
      <c r="AO92" s="12"/>
      <c r="AP92" s="12"/>
      <c r="AQ92" s="12"/>
      <c r="AR92" s="12"/>
      <c r="AS92" s="12"/>
      <c r="AT92" s="12"/>
      <c r="AU92" s="12"/>
      <c r="AV92" s="12"/>
      <c r="AW92" s="12"/>
    </row>
    <row r="93" spans="1:144" ht="12" customHeight="1">
      <c r="A93" s="160"/>
      <c r="D93" s="1272"/>
      <c r="E93" s="1272"/>
      <c r="F93" s="1272"/>
      <c r="G93" s="1272"/>
      <c r="H93" s="70"/>
      <c r="I93" s="70"/>
      <c r="J93" s="70"/>
      <c r="K93" s="70"/>
      <c r="R93" s="58"/>
      <c r="V93" s="58"/>
      <c r="Y93" s="13"/>
      <c r="Z93" s="13"/>
      <c r="AA93" s="12"/>
      <c r="AB93" s="12"/>
      <c r="AC93" s="12"/>
      <c r="AD93" s="12"/>
      <c r="AE93" s="12"/>
      <c r="AF93" s="13"/>
      <c r="AG93" s="12"/>
      <c r="AH93" s="39"/>
      <c r="AI93" s="13"/>
      <c r="AJ93" s="1091"/>
      <c r="AK93" s="12"/>
      <c r="AL93" s="12"/>
      <c r="AM93" s="12"/>
      <c r="AN93" s="12"/>
      <c r="AO93" s="12"/>
      <c r="AP93" s="12"/>
      <c r="AQ93" s="12"/>
      <c r="AR93" s="12"/>
      <c r="AS93" s="12"/>
      <c r="AT93" s="12"/>
      <c r="AU93" s="12"/>
      <c r="AV93" s="12"/>
      <c r="AW93" s="12"/>
    </row>
    <row r="94" spans="1:144" ht="12" customHeight="1">
      <c r="Y94" s="13"/>
      <c r="Z94" s="13"/>
      <c r="AA94" s="12"/>
      <c r="AB94" s="12"/>
      <c r="AC94" s="12"/>
      <c r="AD94" s="12"/>
      <c r="AE94" s="12"/>
      <c r="AF94" s="13"/>
      <c r="AG94" s="12"/>
      <c r="AH94" s="39"/>
      <c r="AI94" s="13"/>
      <c r="AJ94" s="1091"/>
      <c r="AK94" s="12"/>
      <c r="AL94" s="12"/>
      <c r="AM94" s="12"/>
      <c r="AN94" s="12"/>
      <c r="AO94" s="12"/>
      <c r="AP94" s="12"/>
      <c r="AQ94" s="12"/>
      <c r="AR94" s="12"/>
      <c r="AS94" s="12"/>
      <c r="AT94" s="12"/>
      <c r="AU94" s="12"/>
      <c r="AV94" s="12"/>
      <c r="AW94" s="12"/>
    </row>
    <row r="95" spans="1:144" ht="12" customHeight="1">
      <c r="A95" s="12"/>
      <c r="B95" s="12"/>
      <c r="C95" s="12"/>
      <c r="N95" s="1217"/>
      <c r="O95" s="1217"/>
      <c r="P95" s="1217"/>
      <c r="Q95" s="1217"/>
      <c r="R95" s="1217"/>
      <c r="S95" s="1217"/>
      <c r="T95" s="1217"/>
      <c r="U95" s="1217"/>
      <c r="V95" s="1217"/>
      <c r="W95" s="1217"/>
      <c r="X95" s="1217"/>
      <c r="Y95" s="13"/>
      <c r="Z95" s="13"/>
      <c r="AA95" s="12"/>
      <c r="AB95" s="12"/>
      <c r="AC95" s="12"/>
      <c r="AD95" s="12"/>
      <c r="AE95" s="12"/>
      <c r="AF95" s="12"/>
      <c r="AG95" s="12"/>
      <c r="AH95" s="12"/>
      <c r="AI95" s="12"/>
      <c r="AJ95" s="12"/>
      <c r="AK95" s="12"/>
      <c r="AL95" s="12"/>
      <c r="AM95" s="12"/>
      <c r="AN95" s="12"/>
      <c r="AO95" s="12"/>
      <c r="AP95" s="12"/>
      <c r="AQ95" s="12"/>
      <c r="AR95" s="12"/>
      <c r="AS95" s="12"/>
      <c r="AT95" s="12"/>
      <c r="AU95" s="12"/>
      <c r="AV95" s="12"/>
      <c r="AW95" s="12"/>
    </row>
    <row r="96" spans="1:144">
      <c r="A96" s="12"/>
      <c r="B96" s="12"/>
      <c r="C96" s="12"/>
      <c r="N96" s="1216"/>
      <c r="O96" s="1216"/>
      <c r="P96" s="1216"/>
      <c r="Q96" s="1216"/>
      <c r="R96" s="1216"/>
      <c r="S96" s="1216"/>
      <c r="T96" s="1216"/>
      <c r="U96" s="1216"/>
      <c r="V96" s="1216"/>
      <c r="W96" s="1216"/>
      <c r="X96" s="1216"/>
      <c r="Y96" s="13"/>
      <c r="Z96" s="13"/>
      <c r="AA96" s="12"/>
      <c r="AB96" s="12"/>
      <c r="AC96" s="12"/>
      <c r="AD96" s="12"/>
      <c r="AE96" s="12"/>
      <c r="AF96" s="12"/>
      <c r="AG96" s="12"/>
      <c r="AH96" s="12"/>
      <c r="AI96" s="12"/>
      <c r="AJ96" s="12"/>
      <c r="AK96" s="12"/>
      <c r="AL96" s="12"/>
      <c r="AM96" s="12"/>
      <c r="AN96" s="12"/>
      <c r="AO96" s="12"/>
      <c r="AP96" s="12"/>
      <c r="AQ96" s="12"/>
      <c r="AR96" s="12"/>
      <c r="AS96" s="12"/>
      <c r="AT96" s="12"/>
      <c r="AU96" s="12"/>
      <c r="AV96" s="12"/>
      <c r="AW96" s="12"/>
    </row>
    <row r="97" spans="1:49">
      <c r="A97" s="12"/>
      <c r="B97" s="12"/>
      <c r="C97" s="12"/>
      <c r="E97" s="12"/>
      <c r="F97" s="12"/>
      <c r="G97" s="12"/>
      <c r="H97" s="12"/>
      <c r="I97" s="12"/>
      <c r="J97" s="12"/>
      <c r="K97" s="12"/>
      <c r="L97" s="1215"/>
      <c r="M97" s="1215"/>
      <c r="N97" s="1206"/>
      <c r="O97" s="1206"/>
      <c r="P97" s="1206"/>
      <c r="Q97" s="462"/>
      <c r="R97" s="1206"/>
      <c r="S97" s="1206"/>
      <c r="T97" s="1206"/>
      <c r="U97" s="1206"/>
      <c r="V97" s="1206"/>
      <c r="W97" s="462"/>
      <c r="X97" s="1207"/>
      <c r="Y97" s="13"/>
      <c r="Z97" s="13"/>
      <c r="AA97" s="12"/>
      <c r="AB97" s="12"/>
      <c r="AC97" s="12"/>
      <c r="AD97" s="12"/>
      <c r="AE97" s="12"/>
      <c r="AF97" s="12"/>
      <c r="AG97" s="12"/>
      <c r="AH97" s="12"/>
      <c r="AI97" s="12"/>
      <c r="AJ97" s="12"/>
      <c r="AK97" s="12"/>
      <c r="AL97" s="12"/>
      <c r="AM97" s="12"/>
      <c r="AN97" s="12"/>
      <c r="AO97" s="12"/>
      <c r="AP97" s="12"/>
      <c r="AQ97" s="12"/>
      <c r="AR97" s="12"/>
      <c r="AS97" s="12"/>
      <c r="AT97" s="12"/>
      <c r="AU97" s="12"/>
      <c r="AV97" s="12"/>
      <c r="AW97" s="12"/>
    </row>
    <row r="98" spans="1:49" ht="13.5" customHeight="1">
      <c r="A98" s="12"/>
      <c r="B98" s="12"/>
      <c r="C98" s="103"/>
      <c r="D98" s="103"/>
      <c r="E98" s="103"/>
      <c r="F98" s="103"/>
      <c r="G98" s="103"/>
      <c r="H98" s="103"/>
      <c r="I98" s="12"/>
      <c r="J98" s="12"/>
      <c r="K98" s="12"/>
      <c r="L98" s="12"/>
      <c r="M98" s="12"/>
      <c r="N98" s="1206"/>
      <c r="O98" s="1206"/>
      <c r="P98" s="1206"/>
      <c r="Q98" s="462"/>
      <c r="R98" s="1206"/>
      <c r="S98" s="1090"/>
      <c r="T98" s="1206"/>
      <c r="U98" s="1206"/>
      <c r="V98" s="1206"/>
      <c r="W98" s="462"/>
      <c r="X98" s="1090"/>
      <c r="Y98" s="13"/>
      <c r="Z98" s="13"/>
      <c r="AA98" s="12"/>
      <c r="AB98" s="12"/>
      <c r="AC98" s="12"/>
      <c r="AD98" s="12"/>
      <c r="AE98" s="12"/>
      <c r="AF98" s="12"/>
      <c r="AG98" s="12"/>
      <c r="AH98" s="12"/>
      <c r="AI98" s="12"/>
      <c r="AJ98" s="12"/>
      <c r="AK98" s="12"/>
      <c r="AL98" s="12"/>
      <c r="AM98" s="12"/>
      <c r="AN98" s="12"/>
      <c r="AO98" s="12"/>
      <c r="AP98" s="12"/>
      <c r="AQ98" s="12"/>
      <c r="AR98" s="12"/>
      <c r="AS98" s="12"/>
      <c r="AT98" s="12"/>
      <c r="AU98" s="12"/>
      <c r="AV98" s="12"/>
      <c r="AW98" s="12"/>
    </row>
    <row r="99" spans="1:49" ht="14.25">
      <c r="A99" s="12"/>
      <c r="B99" s="12"/>
      <c r="C99" s="136"/>
      <c r="D99" s="302"/>
      <c r="E99" s="302"/>
      <c r="F99" s="302"/>
      <c r="G99" s="302"/>
      <c r="H99" s="302"/>
      <c r="I99" s="76"/>
      <c r="J99" s="76"/>
      <c r="K99" s="76"/>
      <c r="L99" s="76"/>
      <c r="M99" s="133"/>
      <c r="N99" s="1206"/>
      <c r="O99" s="1206"/>
      <c r="P99" s="1206"/>
      <c r="Q99" s="462"/>
      <c r="R99" s="1206"/>
      <c r="S99" s="1090"/>
      <c r="T99" s="1206"/>
      <c r="U99" s="462"/>
      <c r="V99" s="1206"/>
      <c r="W99" s="462"/>
      <c r="X99" s="1090"/>
      <c r="Y99" s="13"/>
      <c r="Z99" s="13"/>
      <c r="AA99" s="12"/>
      <c r="AB99" s="12"/>
      <c r="AC99" s="12"/>
      <c r="AD99" s="12"/>
      <c r="AE99" s="12"/>
      <c r="AF99" s="12"/>
      <c r="AG99" s="12"/>
      <c r="AH99" s="12"/>
      <c r="AI99" s="12"/>
      <c r="AJ99" s="12"/>
      <c r="AK99" s="12"/>
      <c r="AL99" s="12"/>
      <c r="AM99" s="12"/>
      <c r="AN99" s="12"/>
      <c r="AO99" s="12"/>
      <c r="AP99" s="12"/>
      <c r="AQ99" s="12"/>
      <c r="AR99" s="12"/>
      <c r="AS99" s="12"/>
      <c r="AT99" s="12"/>
      <c r="AU99" s="12"/>
      <c r="AV99" s="12"/>
      <c r="AW99" s="12"/>
    </row>
    <row r="100" spans="1:49">
      <c r="C100" s="24"/>
      <c r="E100" s="12"/>
      <c r="F100" s="12"/>
      <c r="G100" s="12"/>
      <c r="H100" s="12"/>
      <c r="I100" s="12"/>
      <c r="J100" s="12"/>
      <c r="K100" s="12"/>
      <c r="L100" s="12"/>
      <c r="M100" s="133"/>
      <c r="N100" s="1206"/>
      <c r="O100" s="1206"/>
      <c r="P100" s="1206"/>
      <c r="Q100" s="462"/>
      <c r="R100" s="1206"/>
      <c r="S100" s="1090"/>
      <c r="T100" s="1206"/>
      <c r="U100" s="462"/>
      <c r="V100" s="1206"/>
      <c r="W100" s="462"/>
      <c r="X100" s="1090"/>
      <c r="Y100" s="13"/>
      <c r="Z100" s="13"/>
      <c r="AA100" s="12"/>
      <c r="AB100" s="12"/>
      <c r="AC100" s="12"/>
      <c r="AD100" s="12"/>
      <c r="AE100" s="12"/>
      <c r="AF100" s="12"/>
      <c r="AG100" s="12"/>
      <c r="AH100" s="12"/>
      <c r="AI100" s="12"/>
      <c r="AJ100" s="12"/>
      <c r="AK100" s="12"/>
      <c r="AL100" s="12"/>
      <c r="AM100" s="12"/>
      <c r="AN100" s="12"/>
      <c r="AO100" s="12"/>
      <c r="AP100" s="12"/>
      <c r="AQ100" s="12"/>
      <c r="AR100" s="12"/>
      <c r="AS100" s="12"/>
      <c r="AT100" s="12"/>
      <c r="AU100" s="12"/>
      <c r="AV100" s="12"/>
      <c r="AW100" s="12"/>
    </row>
    <row r="101" spans="1:49">
      <c r="C101" s="12"/>
      <c r="E101" s="12"/>
      <c r="F101" s="12"/>
      <c r="G101" s="12"/>
      <c r="H101" s="12"/>
      <c r="I101" s="12"/>
      <c r="J101" s="12"/>
      <c r="K101" s="12"/>
      <c r="L101" s="12"/>
      <c r="M101" s="119"/>
      <c r="N101" s="1206"/>
      <c r="O101" s="1206"/>
      <c r="P101" s="1206"/>
      <c r="Q101" s="462"/>
      <c r="R101" s="1206"/>
      <c r="S101" s="1090"/>
      <c r="T101" s="1206"/>
      <c r="U101" s="1206"/>
      <c r="V101" s="1206"/>
      <c r="W101" s="462"/>
      <c r="X101" s="1090"/>
      <c r="Y101" s="13"/>
      <c r="Z101" s="13"/>
      <c r="AA101" s="12"/>
      <c r="AB101" s="12"/>
      <c r="AC101" s="12"/>
      <c r="AD101" s="12"/>
      <c r="AE101" s="12"/>
      <c r="AF101" s="12"/>
      <c r="AG101" s="12"/>
      <c r="AH101" s="12"/>
      <c r="AI101" s="12"/>
      <c r="AJ101" s="12"/>
      <c r="AK101" s="12"/>
      <c r="AL101" s="12"/>
      <c r="AM101" s="12"/>
      <c r="AN101" s="12"/>
      <c r="AO101" s="12"/>
      <c r="AP101" s="12"/>
      <c r="AQ101" s="12"/>
      <c r="AR101" s="12"/>
      <c r="AS101" s="12"/>
      <c r="AT101" s="12"/>
      <c r="AU101" s="12"/>
      <c r="AV101" s="12"/>
      <c r="AW101" s="12"/>
    </row>
    <row r="102" spans="1:49">
      <c r="C102" s="12"/>
      <c r="E102" s="12"/>
      <c r="F102" s="12"/>
      <c r="G102" s="12"/>
      <c r="H102" s="12"/>
      <c r="I102" s="12"/>
      <c r="J102" s="12"/>
      <c r="K102" s="12"/>
      <c r="L102" s="12"/>
      <c r="M102" s="119"/>
      <c r="N102" s="1206"/>
      <c r="O102" s="1206"/>
      <c r="P102" s="1206"/>
      <c r="Q102" s="462"/>
      <c r="R102" s="1206"/>
      <c r="S102" s="1090"/>
      <c r="T102" s="1206"/>
      <c r="U102" s="1206"/>
      <c r="V102" s="1206"/>
      <c r="W102" s="462"/>
      <c r="X102" s="1090"/>
      <c r="Y102" s="13"/>
      <c r="Z102" s="13"/>
      <c r="AA102" s="12"/>
      <c r="AB102" s="12"/>
      <c r="AC102" s="12"/>
      <c r="AD102" s="12"/>
      <c r="AE102" s="12"/>
      <c r="AF102" s="12"/>
      <c r="AG102" s="12"/>
      <c r="AH102" s="12"/>
      <c r="AI102" s="12"/>
      <c r="AJ102" s="12"/>
      <c r="AK102" s="12"/>
      <c r="AL102" s="12"/>
      <c r="AM102" s="37"/>
      <c r="AN102" s="12"/>
      <c r="AO102" s="12"/>
      <c r="AP102" s="12"/>
      <c r="AQ102" s="12"/>
      <c r="AR102" s="12"/>
      <c r="AS102" s="12"/>
      <c r="AT102" s="12"/>
      <c r="AU102" s="12"/>
      <c r="AV102" s="12"/>
      <c r="AW102" s="12"/>
    </row>
    <row r="103" spans="1:49">
      <c r="C103" s="12"/>
      <c r="E103" s="12"/>
      <c r="F103" s="12"/>
      <c r="G103" s="12"/>
      <c r="H103" s="12"/>
      <c r="I103" s="12"/>
      <c r="J103" s="12"/>
      <c r="K103" s="12"/>
      <c r="L103" s="12"/>
      <c r="M103" s="119"/>
      <c r="N103" s="1206"/>
      <c r="O103" s="1206"/>
      <c r="P103" s="1206"/>
      <c r="Q103" s="462"/>
      <c r="R103" s="1206"/>
      <c r="S103" s="1090"/>
      <c r="T103" s="1206"/>
      <c r="U103" s="1206"/>
      <c r="V103" s="1206"/>
      <c r="W103" s="462"/>
      <c r="X103" s="1090"/>
      <c r="Y103" s="13"/>
      <c r="Z103" s="13"/>
      <c r="AA103" s="12"/>
      <c r="AB103" s="12"/>
      <c r="AC103" s="12"/>
      <c r="AD103" s="12"/>
      <c r="AE103" s="12"/>
      <c r="AF103" s="12"/>
      <c r="AG103" s="12"/>
      <c r="AH103" s="12"/>
      <c r="AI103" s="12"/>
      <c r="AJ103" s="12"/>
      <c r="AK103" s="12"/>
      <c r="AL103" s="12"/>
      <c r="AM103" s="12"/>
      <c r="AN103" s="12"/>
      <c r="AO103" s="12"/>
      <c r="AP103" s="12"/>
      <c r="AQ103" s="12"/>
      <c r="AR103" s="12"/>
      <c r="AS103" s="12"/>
      <c r="AT103" s="12"/>
      <c r="AU103" s="12"/>
      <c r="AV103" s="12"/>
      <c r="AW103" s="12"/>
    </row>
    <row r="104" spans="1:49">
      <c r="C104" s="12"/>
      <c r="E104" s="12"/>
      <c r="F104" s="12"/>
      <c r="G104" s="12"/>
      <c r="H104" s="12"/>
      <c r="I104" s="12"/>
      <c r="J104" s="12"/>
      <c r="K104" s="12"/>
      <c r="L104" s="12"/>
      <c r="M104" s="119"/>
      <c r="N104" s="1206"/>
      <c r="O104" s="1206"/>
      <c r="P104" s="1206"/>
      <c r="Q104" s="462"/>
      <c r="R104" s="1206"/>
      <c r="S104" s="1206"/>
      <c r="T104" s="1206"/>
      <c r="U104" s="1206"/>
      <c r="V104" s="1206"/>
      <c r="W104" s="462"/>
      <c r="X104" s="1207"/>
      <c r="Y104" s="13"/>
      <c r="Z104" s="13"/>
      <c r="AA104" s="12"/>
      <c r="AB104" s="12"/>
      <c r="AC104" s="12"/>
      <c r="AD104" s="12"/>
      <c r="AE104" s="12"/>
      <c r="AF104" s="12"/>
      <c r="AG104" s="12"/>
      <c r="AH104" s="12"/>
      <c r="AI104" s="12"/>
      <c r="AJ104" s="12"/>
      <c r="AK104" s="12"/>
      <c r="AL104" s="12"/>
      <c r="AM104" s="12"/>
      <c r="AN104" s="12"/>
      <c r="AO104" s="12"/>
      <c r="AP104" s="12"/>
      <c r="AQ104" s="12"/>
      <c r="AR104" s="12"/>
      <c r="AS104" s="12"/>
      <c r="AT104" s="12"/>
      <c r="AU104" s="12"/>
      <c r="AV104" s="12"/>
      <c r="AW104" s="12"/>
    </row>
    <row r="105" spans="1:49">
      <c r="C105" s="12"/>
      <c r="E105" s="12"/>
      <c r="F105" s="12"/>
      <c r="G105" s="12"/>
      <c r="H105" s="12"/>
      <c r="I105" s="12"/>
      <c r="J105" s="12"/>
      <c r="K105" s="12"/>
      <c r="L105" s="12"/>
      <c r="M105" s="119"/>
      <c r="N105" s="1206"/>
      <c r="O105" s="1206"/>
      <c r="P105" s="1206"/>
      <c r="Q105" s="462"/>
      <c r="R105" s="1206"/>
      <c r="S105" s="1206"/>
      <c r="T105" s="1206"/>
      <c r="U105" s="1206"/>
      <c r="V105" s="1206"/>
      <c r="W105" s="462"/>
      <c r="X105" s="1207"/>
      <c r="Y105" s="13"/>
      <c r="Z105" s="13"/>
      <c r="AA105" s="12"/>
      <c r="AB105" s="12"/>
      <c r="AC105" s="12"/>
      <c r="AD105" s="12"/>
      <c r="AE105" s="12"/>
      <c r="AF105" s="12"/>
      <c r="AG105" s="12"/>
      <c r="AH105" s="12"/>
      <c r="AI105" s="12"/>
      <c r="AJ105" s="12"/>
      <c r="AK105" s="12"/>
      <c r="AL105" s="12"/>
      <c r="AM105" s="12"/>
      <c r="AN105" s="12"/>
      <c r="AO105" s="12"/>
      <c r="AP105" s="12"/>
      <c r="AQ105" s="12"/>
      <c r="AR105" s="12"/>
      <c r="AS105" s="12"/>
      <c r="AT105" s="12"/>
      <c r="AU105" s="12"/>
      <c r="AV105" s="12"/>
      <c r="AW105" s="12"/>
    </row>
    <row r="106" spans="1:49">
      <c r="C106" s="24"/>
      <c r="E106" s="12"/>
      <c r="F106" s="12"/>
      <c r="G106" s="12"/>
      <c r="H106" s="12"/>
      <c r="I106" s="12"/>
      <c r="J106" s="12"/>
      <c r="K106" s="12"/>
      <c r="L106" s="12"/>
      <c r="M106" s="119"/>
      <c r="N106" s="1206"/>
      <c r="O106" s="1206"/>
      <c r="P106" s="1206"/>
      <c r="Q106" s="462"/>
      <c r="R106" s="1208"/>
      <c r="S106" s="1206"/>
      <c r="T106" s="1206"/>
      <c r="U106" s="1206"/>
      <c r="V106" s="1206"/>
      <c r="W106" s="462"/>
      <c r="X106" s="1209"/>
      <c r="Y106" s="12"/>
      <c r="Z106" s="12"/>
      <c r="AA106" s="12"/>
      <c r="AB106" s="12"/>
      <c r="AC106" s="12"/>
      <c r="AD106" s="12"/>
      <c r="AE106" s="12"/>
      <c r="AF106" s="12"/>
      <c r="AG106" s="12"/>
      <c r="AH106" s="12"/>
      <c r="AI106" s="12"/>
      <c r="AJ106" s="12"/>
      <c r="AK106" s="12"/>
      <c r="AL106" s="12"/>
      <c r="AM106" s="37"/>
      <c r="AN106" s="12"/>
      <c r="AO106" s="12"/>
      <c r="AP106" s="12"/>
      <c r="AQ106" s="12"/>
      <c r="AR106" s="12"/>
      <c r="AS106" s="12"/>
      <c r="AT106" s="12"/>
      <c r="AU106" s="12"/>
      <c r="AV106" s="12"/>
      <c r="AW106" s="12"/>
    </row>
    <row r="107" spans="1:49">
      <c r="C107" s="12"/>
      <c r="E107" s="12"/>
      <c r="F107" s="12"/>
      <c r="G107" s="12"/>
      <c r="H107" s="12"/>
      <c r="I107" s="12"/>
      <c r="J107" s="12"/>
      <c r="K107" s="12"/>
      <c r="L107" s="12"/>
      <c r="M107" s="119"/>
      <c r="N107" s="1206"/>
      <c r="O107" s="1206"/>
      <c r="P107" s="1206"/>
      <c r="Q107" s="462"/>
      <c r="R107" s="1206"/>
      <c r="S107" s="1206"/>
      <c r="T107" s="1206"/>
      <c r="U107" s="1206"/>
      <c r="V107" s="1206"/>
      <c r="W107" s="462"/>
      <c r="X107" s="1207"/>
      <c r="Y107" s="12"/>
      <c r="Z107" s="12"/>
      <c r="AA107" s="12"/>
      <c r="AB107" s="12"/>
      <c r="AC107" s="12"/>
      <c r="AD107" s="12"/>
      <c r="AE107" s="12"/>
      <c r="AF107" s="12"/>
      <c r="AG107" s="12"/>
      <c r="AH107" s="12"/>
      <c r="AI107" s="12"/>
      <c r="AJ107" s="12"/>
      <c r="AK107" s="12"/>
      <c r="AL107" s="12"/>
      <c r="AM107" s="12"/>
      <c r="AN107" s="12"/>
      <c r="AO107" s="12"/>
      <c r="AP107" s="12"/>
      <c r="AQ107" s="12"/>
      <c r="AR107" s="12"/>
      <c r="AS107" s="12"/>
      <c r="AT107" s="12"/>
      <c r="AU107" s="12"/>
      <c r="AV107" s="12"/>
      <c r="AW107" s="12"/>
    </row>
    <row r="108" spans="1:49">
      <c r="C108" s="12"/>
      <c r="E108" s="12"/>
      <c r="F108" s="12"/>
      <c r="G108" s="12"/>
      <c r="H108" s="12"/>
      <c r="I108" s="12"/>
      <c r="J108" s="12"/>
      <c r="K108" s="12"/>
      <c r="L108" s="12"/>
      <c r="M108" s="119"/>
      <c r="N108" s="1206"/>
      <c r="O108" s="1206"/>
      <c r="P108" s="1206"/>
      <c r="Q108" s="462"/>
      <c r="R108" s="1206"/>
      <c r="S108" s="1206"/>
      <c r="T108" s="1206"/>
      <c r="U108" s="1206"/>
      <c r="V108" s="1206"/>
      <c r="W108" s="462"/>
      <c r="X108" s="1207"/>
      <c r="Y108" s="12"/>
      <c r="Z108" s="12"/>
      <c r="AA108" s="12"/>
      <c r="AB108" s="12"/>
      <c r="AC108" s="12"/>
      <c r="AD108" s="12"/>
      <c r="AE108" s="12"/>
      <c r="AF108" s="12"/>
      <c r="AG108" s="12"/>
      <c r="AH108" s="12"/>
      <c r="AI108" s="12"/>
      <c r="AJ108" s="12"/>
      <c r="AK108" s="12"/>
      <c r="AL108" s="12"/>
      <c r="AM108" s="12"/>
      <c r="AN108" s="12"/>
      <c r="AO108" s="12"/>
      <c r="AP108" s="12"/>
      <c r="AQ108" s="12"/>
      <c r="AR108" s="12"/>
      <c r="AS108" s="12"/>
      <c r="AT108" s="12"/>
      <c r="AU108" s="12"/>
      <c r="AV108" s="12"/>
      <c r="AW108" s="12"/>
    </row>
    <row r="109" spans="1:49">
      <c r="C109" s="12"/>
      <c r="E109" s="12"/>
      <c r="F109" s="12"/>
      <c r="G109" s="12"/>
      <c r="H109" s="12"/>
      <c r="I109" s="12"/>
      <c r="J109" s="12"/>
      <c r="K109" s="12"/>
      <c r="L109" s="12"/>
      <c r="M109" s="119"/>
      <c r="N109" s="1206"/>
      <c r="O109" s="1206"/>
      <c r="P109" s="1206"/>
      <c r="Q109" s="462"/>
      <c r="R109" s="1206"/>
      <c r="S109" s="1206"/>
      <c r="T109" s="1206"/>
      <c r="U109" s="1206"/>
      <c r="V109" s="1206"/>
      <c r="W109" s="462"/>
      <c r="X109" s="1207"/>
      <c r="Y109" s="12"/>
      <c r="Z109" s="12"/>
      <c r="AA109" s="12"/>
      <c r="AB109" s="12"/>
      <c r="AC109" s="12"/>
      <c r="AD109" s="12"/>
      <c r="AE109" s="12"/>
      <c r="AF109" s="12"/>
      <c r="AG109" s="12"/>
      <c r="AH109" s="12"/>
      <c r="AI109" s="12"/>
      <c r="AJ109" s="12"/>
      <c r="AK109" s="12"/>
      <c r="AL109" s="12"/>
      <c r="AM109" s="12"/>
      <c r="AN109" s="12"/>
      <c r="AO109" s="12"/>
      <c r="AP109" s="12"/>
      <c r="AQ109" s="12"/>
      <c r="AR109" s="12"/>
      <c r="AS109" s="12"/>
      <c r="AT109" s="12"/>
      <c r="AU109" s="12"/>
      <c r="AV109" s="12"/>
      <c r="AW109" s="12"/>
    </row>
    <row r="110" spans="1:49">
      <c r="C110" s="12"/>
      <c r="E110" s="12"/>
      <c r="F110" s="12"/>
      <c r="G110" s="12"/>
      <c r="H110" s="12"/>
      <c r="I110" s="12"/>
      <c r="J110" s="12"/>
      <c r="K110" s="12"/>
      <c r="L110" s="12"/>
      <c r="M110" s="119"/>
      <c r="N110" s="1210"/>
      <c r="O110" s="1210"/>
      <c r="P110" s="1210"/>
      <c r="Q110" s="535"/>
      <c r="R110" s="1211"/>
      <c r="S110" s="1210"/>
      <c r="T110" s="1210"/>
      <c r="U110" s="1210"/>
      <c r="V110" s="1210"/>
      <c r="W110" s="535"/>
      <c r="X110" s="1209"/>
      <c r="Y110" s="12"/>
      <c r="Z110" s="12"/>
      <c r="AA110" s="12"/>
      <c r="AB110" s="122"/>
      <c r="AC110" s="12"/>
      <c r="AD110" s="12"/>
      <c r="AE110" s="12"/>
      <c r="AF110" s="12"/>
      <c r="AG110" s="12"/>
      <c r="AH110" s="12"/>
      <c r="AI110" s="12"/>
      <c r="AJ110" s="12"/>
      <c r="AK110" s="12"/>
      <c r="AL110" s="12"/>
      <c r="AM110" s="12"/>
      <c r="AN110" s="12"/>
      <c r="AO110" s="12"/>
      <c r="AP110" s="12"/>
      <c r="AQ110" s="12"/>
      <c r="AR110" s="12"/>
      <c r="AS110" s="12"/>
      <c r="AT110" s="12"/>
      <c r="AU110" s="12"/>
      <c r="AV110" s="12"/>
      <c r="AW110" s="12"/>
    </row>
    <row r="111" spans="1:49">
      <c r="C111" s="12"/>
      <c r="E111" s="12"/>
      <c r="F111" s="12"/>
      <c r="G111" s="12"/>
      <c r="H111" s="12"/>
      <c r="I111" s="12"/>
      <c r="J111" s="12"/>
      <c r="K111" s="12"/>
      <c r="L111" s="12"/>
      <c r="M111" s="119"/>
      <c r="N111" s="1210"/>
      <c r="O111" s="1210"/>
      <c r="P111" s="1210"/>
      <c r="Q111" s="535"/>
      <c r="R111" s="1210"/>
      <c r="S111" s="1210"/>
      <c r="T111" s="1210"/>
      <c r="U111" s="1210"/>
      <c r="V111" s="1210"/>
      <c r="W111" s="535"/>
      <c r="X111" s="1207"/>
      <c r="Y111" s="12"/>
      <c r="Z111" s="12"/>
      <c r="AA111" s="12"/>
      <c r="AB111" s="12"/>
      <c r="AC111" s="12"/>
      <c r="AD111" s="12"/>
      <c r="AE111" s="12"/>
      <c r="AF111" s="12"/>
      <c r="AG111" s="12"/>
      <c r="AH111" s="12"/>
      <c r="AI111" s="12"/>
      <c r="AJ111" s="12"/>
      <c r="AK111" s="12"/>
      <c r="AL111" s="12"/>
      <c r="AM111" s="12"/>
      <c r="AN111" s="12"/>
      <c r="AO111" s="12"/>
      <c r="AP111" s="12"/>
      <c r="AQ111" s="12"/>
      <c r="AR111" s="12"/>
      <c r="AS111" s="12"/>
      <c r="AT111" s="12"/>
      <c r="AU111" s="12"/>
      <c r="AV111" s="12"/>
      <c r="AW111" s="12"/>
    </row>
    <row r="112" spans="1:49">
      <c r="C112" s="12"/>
      <c r="E112" s="12"/>
      <c r="F112" s="12"/>
      <c r="G112" s="12"/>
      <c r="H112" s="12"/>
      <c r="I112" s="12"/>
      <c r="J112" s="12"/>
      <c r="K112" s="12"/>
      <c r="L112" s="12"/>
      <c r="M112" s="119"/>
      <c r="N112" s="1206"/>
      <c r="O112" s="1206"/>
      <c r="P112" s="1206"/>
      <c r="Q112" s="462"/>
      <c r="R112" s="1206"/>
      <c r="S112" s="1206"/>
      <c r="T112" s="1206"/>
      <c r="U112" s="1206"/>
      <c r="V112" s="1206"/>
      <c r="W112" s="462"/>
      <c r="X112" s="1207"/>
      <c r="Y112" s="12"/>
      <c r="Z112" s="12"/>
      <c r="AA112" s="12"/>
      <c r="AB112" s="12"/>
      <c r="AC112" s="12"/>
      <c r="AD112" s="12"/>
      <c r="AE112" s="12"/>
      <c r="AF112" s="12"/>
      <c r="AG112" s="12"/>
      <c r="AH112" s="12"/>
      <c r="AI112" s="12"/>
      <c r="AJ112" s="12"/>
      <c r="AK112" s="12"/>
      <c r="AL112" s="12"/>
      <c r="AM112" s="12"/>
      <c r="AN112" s="12"/>
      <c r="AO112" s="12"/>
      <c r="AP112" s="12"/>
      <c r="AQ112" s="12"/>
      <c r="AR112" s="12"/>
      <c r="AS112" s="12"/>
      <c r="AT112" s="12"/>
      <c r="AU112" s="12"/>
      <c r="AV112" s="12"/>
      <c r="AW112" s="12"/>
    </row>
    <row r="113" spans="3:49">
      <c r="C113" s="12"/>
      <c r="E113" s="12"/>
      <c r="F113" s="12"/>
      <c r="G113" s="12"/>
      <c r="H113" s="12"/>
      <c r="I113" s="12"/>
      <c r="J113" s="12"/>
      <c r="K113" s="12"/>
      <c r="L113" s="12"/>
      <c r="M113" s="119"/>
      <c r="N113" s="1206"/>
      <c r="O113" s="1206"/>
      <c r="P113" s="1206"/>
      <c r="Q113" s="1206"/>
      <c r="R113" s="1206"/>
      <c r="S113" s="1206"/>
      <c r="T113" s="1206"/>
      <c r="U113" s="1206"/>
      <c r="V113" s="1206"/>
      <c r="W113" s="1206"/>
      <c r="X113" s="1207"/>
      <c r="Y113" s="33"/>
      <c r="Z113" s="33"/>
      <c r="AA113" s="33"/>
      <c r="AB113" s="12"/>
      <c r="AC113" s="33"/>
      <c r="AD113" s="12"/>
      <c r="AE113" s="12"/>
      <c r="AF113" s="12"/>
      <c r="AG113" s="12"/>
      <c r="AH113" s="12"/>
      <c r="AI113" s="12"/>
      <c r="AJ113" s="12"/>
      <c r="AK113" s="12"/>
      <c r="AL113" s="12"/>
      <c r="AM113" s="12"/>
      <c r="AN113" s="12"/>
      <c r="AO113" s="12"/>
      <c r="AP113" s="12"/>
      <c r="AQ113" s="12"/>
      <c r="AR113" s="12"/>
      <c r="AS113" s="12"/>
      <c r="AT113" s="12"/>
      <c r="AU113" s="12"/>
      <c r="AV113" s="12"/>
      <c r="AW113" s="12"/>
    </row>
    <row r="114" spans="3:49">
      <c r="C114" s="12"/>
      <c r="E114" s="12"/>
      <c r="F114" s="12"/>
      <c r="G114" s="12"/>
      <c r="H114" s="12"/>
      <c r="I114" s="12"/>
      <c r="J114" s="12"/>
      <c r="K114" s="12"/>
      <c r="L114" s="12"/>
      <c r="M114" s="119"/>
      <c r="N114" s="1206"/>
      <c r="O114" s="1206"/>
      <c r="P114" s="1206"/>
      <c r="Q114" s="462"/>
      <c r="R114" s="1206"/>
      <c r="S114" s="1206"/>
      <c r="T114" s="1206"/>
      <c r="U114" s="1206"/>
      <c r="V114" s="1206"/>
      <c r="W114" s="462"/>
      <c r="X114" s="1207"/>
      <c r="Y114" s="33"/>
      <c r="Z114" s="33"/>
      <c r="AA114" s="33"/>
      <c r="AB114" s="12"/>
      <c r="AC114" s="12"/>
      <c r="AD114" s="12"/>
      <c r="AE114" s="12"/>
      <c r="AF114" s="12"/>
      <c r="AG114" s="12"/>
      <c r="AH114" s="12"/>
      <c r="AI114" s="12"/>
      <c r="AJ114" s="12"/>
      <c r="AK114" s="12"/>
      <c r="AL114" s="12"/>
      <c r="AM114" s="12"/>
      <c r="AN114" s="12"/>
      <c r="AO114" s="12"/>
      <c r="AP114" s="12"/>
      <c r="AQ114" s="12"/>
      <c r="AR114" s="12"/>
      <c r="AS114" s="12"/>
      <c r="AT114" s="12"/>
      <c r="AU114" s="12"/>
      <c r="AV114" s="12"/>
      <c r="AW114" s="12"/>
    </row>
    <row r="115" spans="3:49">
      <c r="C115" s="12"/>
      <c r="E115" s="12"/>
      <c r="F115" s="12"/>
      <c r="G115" s="12"/>
      <c r="H115" s="12"/>
      <c r="I115" s="12"/>
      <c r="J115" s="12"/>
      <c r="K115" s="12"/>
      <c r="L115" s="12"/>
      <c r="M115" s="119"/>
      <c r="N115" s="1206"/>
      <c r="O115" s="1206"/>
      <c r="P115" s="1206"/>
      <c r="Q115" s="462"/>
      <c r="R115" s="1206"/>
      <c r="S115" s="462"/>
      <c r="T115" s="1206"/>
      <c r="U115" s="1206"/>
      <c r="V115" s="1206"/>
      <c r="W115" s="462"/>
      <c r="X115" s="1206"/>
      <c r="Y115" s="33"/>
      <c r="Z115" s="33"/>
      <c r="AA115" s="33"/>
      <c r="AB115" s="12"/>
      <c r="AC115" s="12"/>
      <c r="AD115" s="12"/>
      <c r="AE115" s="12"/>
      <c r="AF115" s="12"/>
      <c r="AG115" s="12"/>
      <c r="AH115" s="12"/>
      <c r="AI115" s="12"/>
      <c r="AJ115" s="12"/>
      <c r="AK115" s="12"/>
      <c r="AL115" s="12"/>
      <c r="AM115" s="12"/>
      <c r="AN115" s="12"/>
      <c r="AO115" s="12"/>
      <c r="AP115" s="12"/>
      <c r="AQ115" s="12"/>
      <c r="AR115" s="12"/>
      <c r="AS115" s="12"/>
      <c r="AT115" s="12"/>
      <c r="AU115" s="12"/>
      <c r="AV115" s="12"/>
      <c r="AW115" s="12"/>
    </row>
    <row r="116" spans="3:49">
      <c r="C116" s="12"/>
      <c r="E116" s="12"/>
      <c r="F116" s="12"/>
      <c r="G116" s="12"/>
      <c r="H116" s="12"/>
      <c r="I116" s="12"/>
      <c r="J116" s="12"/>
      <c r="K116" s="12"/>
      <c r="L116" s="12"/>
      <c r="M116" s="119"/>
      <c r="N116" s="1206"/>
      <c r="O116" s="1206"/>
      <c r="P116" s="1206"/>
      <c r="Q116" s="1213"/>
      <c r="R116" s="1206"/>
      <c r="S116" s="1214"/>
      <c r="T116" s="1206"/>
      <c r="U116" s="1206"/>
      <c r="V116" s="1206"/>
      <c r="W116" s="1213"/>
      <c r="X116" s="1206"/>
      <c r="Y116" s="33"/>
      <c r="Z116" s="33"/>
      <c r="AA116" s="33"/>
      <c r="AB116" s="12"/>
      <c r="AC116" s="12"/>
      <c r="AD116" s="12"/>
      <c r="AE116" s="12"/>
      <c r="AF116" s="12"/>
      <c r="AG116" s="12"/>
      <c r="AH116" s="12"/>
      <c r="AI116" s="12"/>
      <c r="AJ116" s="12"/>
      <c r="AK116" s="12"/>
      <c r="AL116" s="12"/>
      <c r="AM116" s="12"/>
      <c r="AN116" s="12"/>
      <c r="AO116" s="12"/>
      <c r="AP116" s="12"/>
      <c r="AQ116" s="12"/>
      <c r="AR116" s="12"/>
      <c r="AS116" s="12"/>
      <c r="AT116" s="12"/>
      <c r="AU116" s="12"/>
      <c r="AV116" s="12"/>
      <c r="AW116" s="12"/>
    </row>
    <row r="117" spans="3:49">
      <c r="C117" s="12"/>
      <c r="E117" s="12"/>
      <c r="F117" s="12"/>
      <c r="G117" s="12"/>
      <c r="H117" s="12"/>
      <c r="I117" s="12"/>
      <c r="J117" s="12"/>
      <c r="K117" s="12"/>
      <c r="L117" s="12"/>
      <c r="M117" s="119"/>
      <c r="N117" s="57"/>
      <c r="O117" s="1212"/>
      <c r="P117" s="33"/>
      <c r="Q117" s="33"/>
      <c r="R117" s="33"/>
      <c r="S117" s="57"/>
      <c r="T117" s="33"/>
      <c r="U117" s="33"/>
      <c r="V117" s="33"/>
      <c r="W117" s="33"/>
      <c r="X117" s="33"/>
      <c r="Y117" s="33"/>
      <c r="Z117" s="33"/>
      <c r="AA117" s="33"/>
      <c r="AB117" s="12"/>
      <c r="AC117" s="12"/>
      <c r="AD117" s="12"/>
      <c r="AE117" s="12"/>
      <c r="AF117" s="12"/>
      <c r="AG117" s="12"/>
      <c r="AH117" s="12"/>
      <c r="AI117" s="12"/>
      <c r="AJ117" s="12"/>
      <c r="AK117" s="12"/>
      <c r="AL117" s="12"/>
      <c r="AM117" s="12"/>
      <c r="AN117" s="12"/>
      <c r="AO117" s="12"/>
      <c r="AP117" s="12"/>
      <c r="AQ117" s="12"/>
      <c r="AR117" s="12"/>
      <c r="AS117" s="12"/>
      <c r="AT117" s="12"/>
      <c r="AU117" s="12"/>
      <c r="AV117" s="12"/>
      <c r="AW117" s="12"/>
    </row>
    <row r="118" spans="3:49">
      <c r="C118" s="12"/>
      <c r="E118" s="12"/>
      <c r="F118" s="12"/>
      <c r="G118" s="12"/>
      <c r="H118" s="12"/>
      <c r="I118" s="12"/>
      <c r="J118" s="12"/>
      <c r="K118" s="12"/>
      <c r="L118" s="12"/>
      <c r="M118" s="119"/>
      <c r="N118" s="13"/>
      <c r="O118" s="137"/>
      <c r="P118" s="12"/>
      <c r="S118" s="121"/>
      <c r="T118" s="33"/>
      <c r="U118" s="33"/>
      <c r="V118" s="33"/>
      <c r="W118" s="33"/>
      <c r="X118" s="33"/>
      <c r="Y118" s="33"/>
      <c r="Z118" s="33"/>
      <c r="AA118" s="33"/>
      <c r="AB118" s="12"/>
      <c r="AC118" s="12"/>
      <c r="AD118" s="12"/>
      <c r="AE118" s="12"/>
      <c r="AF118" s="12"/>
      <c r="AG118" s="12"/>
      <c r="AH118" s="12"/>
      <c r="AI118" s="12"/>
      <c r="AJ118" s="12"/>
      <c r="AK118" s="12"/>
      <c r="AL118" s="12"/>
      <c r="AM118" s="12"/>
      <c r="AN118" s="12"/>
      <c r="AO118" s="12"/>
      <c r="AP118" s="12"/>
      <c r="AQ118" s="12"/>
      <c r="AR118" s="12"/>
      <c r="AS118" s="12"/>
      <c r="AT118" s="12"/>
      <c r="AU118" s="12"/>
      <c r="AV118" s="12"/>
      <c r="AW118" s="12"/>
    </row>
    <row r="119" spans="3:49">
      <c r="C119" s="12"/>
      <c r="E119" s="12"/>
      <c r="F119" s="12"/>
      <c r="G119" s="12"/>
      <c r="H119" s="12"/>
      <c r="I119" s="12"/>
      <c r="J119" s="12"/>
      <c r="K119" s="12"/>
      <c r="L119" s="12"/>
      <c r="M119" s="119"/>
      <c r="N119" s="13"/>
      <c r="O119" s="137"/>
      <c r="P119" s="12"/>
      <c r="S119" s="33"/>
      <c r="T119" s="33"/>
      <c r="U119" s="33"/>
      <c r="V119" s="33"/>
      <c r="W119" s="33"/>
      <c r="X119" s="33"/>
      <c r="Y119" s="33"/>
      <c r="Z119" s="33"/>
      <c r="AA119" s="33"/>
      <c r="AB119" s="12"/>
      <c r="AC119" s="12"/>
      <c r="AD119" s="12"/>
      <c r="AE119" s="12"/>
      <c r="AF119" s="12"/>
      <c r="AG119" s="12"/>
      <c r="AH119" s="12"/>
      <c r="AI119" s="12"/>
      <c r="AJ119" s="12"/>
      <c r="AK119" s="12"/>
      <c r="AL119" s="12"/>
      <c r="AM119" s="12"/>
      <c r="AN119" s="12"/>
      <c r="AO119" s="12"/>
      <c r="AP119" s="12"/>
      <c r="AQ119" s="12"/>
      <c r="AR119" s="12"/>
      <c r="AS119" s="12"/>
      <c r="AT119" s="12"/>
      <c r="AU119" s="12"/>
      <c r="AV119" s="12"/>
      <c r="AW119" s="12"/>
    </row>
    <row r="120" spans="3:49">
      <c r="C120" s="24"/>
      <c r="E120" s="12"/>
      <c r="F120" s="12"/>
      <c r="G120" s="12"/>
      <c r="H120" s="12"/>
      <c r="I120" s="12"/>
      <c r="J120" s="12"/>
      <c r="K120" s="12"/>
      <c r="L120" s="12"/>
      <c r="M120" s="119"/>
      <c r="N120" s="13"/>
      <c r="O120" s="137"/>
      <c r="P120" s="12"/>
      <c r="S120" s="33"/>
      <c r="T120" s="33"/>
      <c r="U120" s="33"/>
      <c r="V120" s="33"/>
      <c r="W120" s="33"/>
      <c r="X120" s="33"/>
      <c r="Y120" s="33"/>
      <c r="Z120" s="33"/>
      <c r="AA120" s="33"/>
      <c r="AB120" s="12"/>
      <c r="AC120" s="12"/>
      <c r="AD120" s="12"/>
      <c r="AE120" s="12"/>
      <c r="AF120" s="12"/>
      <c r="AG120" s="12"/>
      <c r="AH120" s="12"/>
      <c r="AI120" s="12"/>
      <c r="AJ120" s="12"/>
      <c r="AK120" s="12"/>
      <c r="AL120" s="12"/>
      <c r="AM120" s="12"/>
      <c r="AN120" s="12"/>
      <c r="AO120" s="12"/>
      <c r="AP120" s="12"/>
      <c r="AQ120" s="12"/>
      <c r="AR120" s="12"/>
      <c r="AS120" s="12"/>
      <c r="AT120" s="12"/>
      <c r="AU120" s="12"/>
      <c r="AV120" s="12"/>
      <c r="AW120" s="12"/>
    </row>
    <row r="121" spans="3:49">
      <c r="C121" s="12"/>
      <c r="E121" s="12"/>
      <c r="F121" s="12"/>
      <c r="G121" s="12"/>
      <c r="H121" s="12"/>
      <c r="I121" s="12"/>
      <c r="J121" s="12"/>
      <c r="K121" s="12"/>
      <c r="L121" s="12"/>
      <c r="M121" s="119"/>
      <c r="N121" s="13"/>
      <c r="O121" s="137"/>
      <c r="P121" s="12"/>
      <c r="S121" s="33"/>
      <c r="T121" s="57"/>
      <c r="U121" s="57"/>
      <c r="V121" s="57"/>
      <c r="W121" s="57"/>
      <c r="X121" s="33"/>
      <c r="Y121" s="33"/>
      <c r="Z121" s="33"/>
      <c r="AA121" s="33"/>
      <c r="AB121" s="12"/>
      <c r="AC121" s="12"/>
      <c r="AD121" s="12"/>
      <c r="AE121" s="12"/>
      <c r="AF121" s="12"/>
      <c r="AG121" s="12"/>
      <c r="AH121" s="12"/>
      <c r="AI121" s="12"/>
      <c r="AJ121" s="12"/>
      <c r="AK121" s="12"/>
      <c r="AL121" s="12"/>
      <c r="AM121" s="12"/>
      <c r="AN121" s="12"/>
      <c r="AO121" s="12"/>
      <c r="AP121" s="12"/>
      <c r="AQ121" s="12"/>
      <c r="AR121" s="12"/>
      <c r="AS121" s="12"/>
      <c r="AT121" s="12"/>
      <c r="AU121" s="12"/>
      <c r="AV121" s="12"/>
      <c r="AW121" s="12"/>
    </row>
    <row r="122" spans="3:49">
      <c r="C122" s="12"/>
      <c r="E122" s="12"/>
      <c r="F122" s="12"/>
      <c r="G122" s="12"/>
      <c r="H122" s="12"/>
      <c r="I122" s="12"/>
      <c r="J122" s="12"/>
      <c r="K122" s="12"/>
      <c r="L122" s="12"/>
      <c r="M122" s="119"/>
      <c r="N122" s="13"/>
      <c r="O122" s="137"/>
      <c r="P122" s="12"/>
      <c r="S122" s="33"/>
      <c r="T122" s="57"/>
      <c r="U122" s="57"/>
      <c r="V122" s="57"/>
      <c r="W122" s="57"/>
      <c r="X122" s="57"/>
      <c r="Y122" s="33"/>
      <c r="Z122" s="33"/>
      <c r="AA122" s="33"/>
      <c r="AB122" s="12"/>
      <c r="AC122" s="12"/>
      <c r="AD122" s="12"/>
      <c r="AE122" s="12"/>
      <c r="AF122" s="12"/>
      <c r="AG122" s="12"/>
      <c r="AH122" s="12"/>
      <c r="AI122" s="12"/>
      <c r="AJ122" s="12"/>
      <c r="AK122" s="12"/>
      <c r="AL122" s="12"/>
      <c r="AM122" s="12"/>
      <c r="AN122" s="12"/>
      <c r="AO122" s="12"/>
      <c r="AP122" s="12"/>
      <c r="AQ122" s="12"/>
      <c r="AR122" s="12"/>
      <c r="AS122" s="12"/>
      <c r="AT122" s="12"/>
      <c r="AU122" s="12"/>
      <c r="AV122" s="12"/>
      <c r="AW122" s="12"/>
    </row>
    <row r="123" spans="3:49">
      <c r="C123" s="12"/>
      <c r="E123" s="12"/>
      <c r="F123" s="12"/>
      <c r="G123" s="12"/>
      <c r="H123" s="12"/>
      <c r="I123" s="12"/>
      <c r="J123" s="12"/>
      <c r="K123" s="12"/>
      <c r="L123" s="12"/>
      <c r="M123" s="119"/>
      <c r="N123" s="13"/>
      <c r="O123" s="137"/>
      <c r="P123" s="12"/>
      <c r="S123" s="33"/>
      <c r="T123" s="33"/>
      <c r="U123" s="57"/>
      <c r="V123" s="57"/>
      <c r="W123" s="57"/>
      <c r="X123" s="57"/>
      <c r="Y123" s="33"/>
      <c r="Z123" s="33"/>
      <c r="AA123" s="33"/>
      <c r="AB123" s="12"/>
      <c r="AC123" s="12"/>
      <c r="AD123" s="12"/>
      <c r="AE123" s="12"/>
      <c r="AF123" s="12"/>
      <c r="AG123" s="12"/>
      <c r="AH123" s="12"/>
      <c r="AI123" s="12"/>
      <c r="AJ123" s="12"/>
      <c r="AK123" s="12"/>
      <c r="AL123" s="12"/>
      <c r="AM123" s="12"/>
      <c r="AN123" s="12"/>
      <c r="AO123" s="12"/>
      <c r="AP123" s="12"/>
      <c r="AQ123" s="12"/>
      <c r="AR123" s="12"/>
      <c r="AS123" s="12"/>
      <c r="AT123" s="12"/>
      <c r="AU123" s="12"/>
      <c r="AV123" s="12"/>
      <c r="AW123" s="12"/>
    </row>
    <row r="124" spans="3:49">
      <c r="C124" s="12"/>
      <c r="E124" s="12"/>
      <c r="F124" s="12"/>
      <c r="G124" s="12"/>
      <c r="H124" s="12"/>
      <c r="I124" s="12"/>
      <c r="J124" s="12"/>
      <c r="K124" s="12"/>
      <c r="L124" s="12"/>
      <c r="M124" s="119"/>
      <c r="N124" s="13"/>
      <c r="O124" s="137"/>
      <c r="P124" s="12"/>
      <c r="S124" s="29"/>
      <c r="T124" s="57"/>
      <c r="U124" s="57"/>
      <c r="V124" s="57"/>
      <c r="W124" s="57"/>
      <c r="X124" s="57"/>
      <c r="Y124" s="33"/>
      <c r="Z124" s="33"/>
      <c r="AA124" s="33"/>
      <c r="AB124" s="12"/>
      <c r="AC124" s="12"/>
      <c r="AD124" s="12"/>
      <c r="AE124" s="12"/>
      <c r="AF124" s="12"/>
      <c r="AG124" s="12"/>
      <c r="AH124" s="12"/>
      <c r="AI124" s="12"/>
      <c r="AJ124" s="12"/>
      <c r="AK124" s="12"/>
      <c r="AL124" s="12"/>
      <c r="AM124" s="12"/>
      <c r="AN124" s="12"/>
      <c r="AO124" s="12"/>
      <c r="AP124" s="12"/>
      <c r="AQ124" s="12"/>
      <c r="AR124" s="12"/>
      <c r="AS124" s="12"/>
      <c r="AT124" s="12"/>
      <c r="AU124" s="12"/>
      <c r="AV124" s="12"/>
      <c r="AW124" s="12"/>
    </row>
    <row r="125" spans="3:49">
      <c r="C125" s="12"/>
      <c r="E125" s="12"/>
      <c r="F125" s="12"/>
      <c r="G125" s="12"/>
      <c r="H125" s="12"/>
      <c r="I125" s="12"/>
      <c r="J125" s="12"/>
      <c r="K125" s="12"/>
      <c r="L125" s="12"/>
      <c r="M125" s="119"/>
      <c r="N125" s="13"/>
      <c r="O125" s="137"/>
      <c r="P125" s="12"/>
      <c r="S125" s="33"/>
      <c r="T125" s="57"/>
      <c r="U125" s="57"/>
      <c r="V125" s="57"/>
      <c r="W125" s="57"/>
      <c r="X125" s="57"/>
      <c r="Y125" s="33"/>
      <c r="Z125" s="33"/>
      <c r="AA125" s="33"/>
      <c r="AB125" s="12"/>
      <c r="AC125" s="12"/>
      <c r="AD125" s="12"/>
      <c r="AE125" s="12"/>
      <c r="AF125" s="12"/>
      <c r="AG125" s="12"/>
      <c r="AH125" s="12"/>
      <c r="AI125" s="12"/>
      <c r="AJ125" s="12"/>
      <c r="AK125" s="12"/>
      <c r="AL125" s="12"/>
      <c r="AM125" s="12"/>
      <c r="AN125" s="12"/>
      <c r="AO125" s="12"/>
      <c r="AP125" s="12"/>
      <c r="AQ125" s="12"/>
      <c r="AR125" s="12"/>
      <c r="AS125" s="12"/>
      <c r="AT125" s="12"/>
      <c r="AU125" s="12"/>
      <c r="AV125" s="12"/>
      <c r="AW125" s="12"/>
    </row>
    <row r="126" spans="3:49">
      <c r="C126" s="12"/>
      <c r="E126" s="12"/>
      <c r="F126" s="12"/>
      <c r="G126" s="12"/>
      <c r="H126" s="12"/>
      <c r="I126" s="12"/>
      <c r="J126" s="12"/>
      <c r="K126" s="12"/>
      <c r="L126" s="12"/>
      <c r="M126" s="119"/>
      <c r="N126" s="13"/>
      <c r="O126" s="137"/>
      <c r="P126" s="12"/>
      <c r="S126" s="33"/>
      <c r="T126" s="57"/>
      <c r="U126" s="57"/>
      <c r="V126" s="57"/>
      <c r="W126" s="57"/>
      <c r="X126" s="57"/>
      <c r="Y126" s="57"/>
      <c r="Z126" s="57"/>
      <c r="AA126" s="33"/>
      <c r="AB126" s="12"/>
      <c r="AC126" s="12"/>
      <c r="AD126" s="12"/>
      <c r="AE126" s="12"/>
      <c r="AF126" s="12"/>
      <c r="AG126" s="12"/>
      <c r="AH126" s="12"/>
      <c r="AI126" s="12"/>
      <c r="AJ126" s="12"/>
      <c r="AK126" s="12"/>
      <c r="AL126" s="12"/>
      <c r="AM126" s="12"/>
      <c r="AN126" s="12"/>
      <c r="AO126" s="12"/>
      <c r="AP126" s="12"/>
      <c r="AQ126" s="12"/>
      <c r="AR126" s="12"/>
      <c r="AS126" s="12"/>
      <c r="AT126" s="12"/>
      <c r="AU126" s="12"/>
      <c r="AV126" s="12"/>
      <c r="AW126" s="12"/>
    </row>
    <row r="127" spans="3:49">
      <c r="C127" s="12"/>
      <c r="E127" s="12"/>
      <c r="F127" s="12"/>
      <c r="G127" s="12"/>
      <c r="H127" s="12"/>
      <c r="I127" s="12"/>
      <c r="J127" s="12"/>
      <c r="K127" s="12"/>
      <c r="L127" s="12"/>
      <c r="M127" s="119"/>
      <c r="N127" s="13"/>
      <c r="O127" s="137"/>
      <c r="P127" s="12"/>
      <c r="S127" s="33"/>
      <c r="T127" s="57"/>
      <c r="U127" s="57"/>
      <c r="V127" s="57"/>
      <c r="W127" s="57"/>
      <c r="X127" s="57"/>
      <c r="Y127" s="57"/>
      <c r="Z127" s="57"/>
      <c r="AA127" s="33"/>
      <c r="AB127" s="12"/>
      <c r="AC127" s="12"/>
      <c r="AD127" s="12"/>
      <c r="AE127" s="12"/>
      <c r="AF127" s="12"/>
      <c r="AG127" s="12"/>
      <c r="AH127" s="12"/>
      <c r="AI127" s="12"/>
      <c r="AJ127" s="12"/>
      <c r="AK127" s="12"/>
      <c r="AL127" s="12"/>
      <c r="AM127" s="12"/>
      <c r="AN127" s="12"/>
      <c r="AO127" s="12"/>
      <c r="AP127" s="12"/>
      <c r="AQ127" s="12"/>
      <c r="AR127" s="12"/>
      <c r="AS127" s="12"/>
      <c r="AT127" s="12"/>
      <c r="AU127" s="12"/>
      <c r="AV127" s="12"/>
      <c r="AW127" s="12"/>
    </row>
    <row r="128" spans="3:49">
      <c r="C128" s="12"/>
      <c r="E128" s="12"/>
      <c r="F128" s="12"/>
      <c r="G128" s="12"/>
      <c r="H128" s="12"/>
      <c r="I128" s="12"/>
      <c r="J128" s="12"/>
      <c r="K128" s="12"/>
      <c r="L128" s="12"/>
      <c r="M128" s="119"/>
      <c r="N128" s="13"/>
      <c r="O128" s="137"/>
      <c r="P128" s="12"/>
      <c r="S128" s="33"/>
      <c r="T128" s="33"/>
      <c r="U128" s="57"/>
      <c r="V128" s="57"/>
      <c r="W128" s="57"/>
      <c r="X128" s="57"/>
      <c r="Y128" s="57"/>
      <c r="Z128" s="57"/>
      <c r="AA128" s="33"/>
      <c r="AB128" s="12"/>
      <c r="AC128" s="12"/>
      <c r="AD128" s="12"/>
      <c r="AE128" s="12"/>
      <c r="AF128" s="12"/>
      <c r="AG128" s="12"/>
      <c r="AH128" s="12"/>
      <c r="AI128" s="12"/>
      <c r="AJ128" s="12"/>
      <c r="AK128" s="12"/>
      <c r="AL128" s="12"/>
      <c r="AM128" s="12"/>
      <c r="AN128" s="12"/>
      <c r="AO128" s="12"/>
      <c r="AP128" s="12"/>
      <c r="AQ128" s="12"/>
      <c r="AR128" s="12"/>
      <c r="AS128" s="12"/>
      <c r="AT128" s="12"/>
      <c r="AU128" s="12"/>
      <c r="AV128" s="12"/>
      <c r="AW128" s="12"/>
    </row>
    <row r="129" spans="3:49">
      <c r="C129" s="12"/>
      <c r="E129" s="12"/>
      <c r="F129" s="12"/>
      <c r="G129" s="12"/>
      <c r="H129" s="12"/>
      <c r="I129" s="12"/>
      <c r="J129" s="12"/>
      <c r="K129" s="12"/>
      <c r="L129" s="12"/>
      <c r="M129" s="119"/>
      <c r="N129" s="13"/>
      <c r="O129" s="137"/>
      <c r="P129" s="12"/>
      <c r="S129" s="57"/>
      <c r="T129" s="57"/>
      <c r="U129" s="57"/>
      <c r="V129" s="57"/>
      <c r="W129" s="57"/>
      <c r="X129" s="57"/>
      <c r="Y129" s="57"/>
      <c r="Z129" s="57"/>
      <c r="AA129" s="33"/>
      <c r="AB129" s="12"/>
      <c r="AC129" s="12"/>
      <c r="AD129" s="12"/>
      <c r="AE129" s="12"/>
      <c r="AF129" s="12"/>
      <c r="AG129" s="12"/>
      <c r="AH129" s="12"/>
      <c r="AI129" s="12"/>
      <c r="AJ129" s="12"/>
      <c r="AK129" s="12"/>
      <c r="AL129" s="12"/>
      <c r="AM129" s="12"/>
      <c r="AN129" s="12"/>
      <c r="AO129" s="12"/>
      <c r="AP129" s="12"/>
      <c r="AQ129" s="12"/>
      <c r="AR129" s="12"/>
      <c r="AS129" s="12"/>
      <c r="AT129" s="12"/>
      <c r="AU129" s="12"/>
      <c r="AV129" s="12"/>
      <c r="AW129" s="12"/>
    </row>
    <row r="130" spans="3:49">
      <c r="C130" s="12"/>
      <c r="E130" s="12"/>
      <c r="F130" s="12"/>
      <c r="G130" s="12"/>
      <c r="H130" s="12"/>
      <c r="I130" s="12"/>
      <c r="J130" s="12"/>
      <c r="K130" s="12"/>
      <c r="L130" s="12"/>
      <c r="M130" s="119"/>
      <c r="N130" s="13"/>
      <c r="O130" s="137"/>
      <c r="P130" s="12"/>
      <c r="S130" s="29"/>
      <c r="T130" s="57"/>
      <c r="U130" s="57"/>
      <c r="V130" s="57"/>
      <c r="W130" s="57"/>
      <c r="X130" s="57"/>
      <c r="Y130" s="57"/>
      <c r="Z130" s="57"/>
      <c r="AA130" s="33"/>
      <c r="AJ130" s="12"/>
      <c r="AK130" s="12"/>
      <c r="AL130" s="12"/>
      <c r="AM130" s="12"/>
      <c r="AN130" s="12"/>
      <c r="AO130" s="12"/>
      <c r="AP130" s="12"/>
      <c r="AQ130" s="12"/>
      <c r="AR130" s="12"/>
      <c r="AS130" s="12"/>
      <c r="AT130" s="12"/>
      <c r="AU130" s="12"/>
      <c r="AV130" s="12"/>
      <c r="AW130" s="12"/>
    </row>
    <row r="131" spans="3:49">
      <c r="C131" s="12"/>
      <c r="E131" s="12"/>
      <c r="F131" s="12"/>
      <c r="G131" s="12"/>
      <c r="H131" s="12"/>
      <c r="I131" s="12"/>
      <c r="J131" s="12"/>
      <c r="K131" s="12"/>
      <c r="L131" s="12"/>
      <c r="M131" s="119"/>
      <c r="N131" s="13"/>
      <c r="O131" s="137"/>
      <c r="P131" s="12"/>
      <c r="S131" s="13"/>
      <c r="T131" s="57"/>
      <c r="U131" s="57"/>
      <c r="V131" s="57"/>
      <c r="W131" s="57"/>
      <c r="X131" s="57"/>
      <c r="Y131" s="57"/>
      <c r="Z131" s="57"/>
      <c r="AA131" s="33"/>
      <c r="AJ131" s="12"/>
      <c r="AK131" s="12"/>
      <c r="AL131" s="12"/>
      <c r="AM131" s="12"/>
      <c r="AN131" s="12"/>
      <c r="AO131" s="12"/>
      <c r="AP131" s="12"/>
      <c r="AQ131" s="12"/>
      <c r="AR131" s="12"/>
      <c r="AS131" s="12"/>
      <c r="AT131" s="12"/>
      <c r="AU131" s="12"/>
      <c r="AV131" s="12"/>
      <c r="AW131" s="12"/>
    </row>
    <row r="132" spans="3:49">
      <c r="C132" s="12"/>
      <c r="E132" s="12"/>
      <c r="F132" s="12"/>
      <c r="G132" s="12"/>
      <c r="H132" s="12"/>
      <c r="I132" s="12"/>
      <c r="J132" s="12"/>
      <c r="K132" s="12"/>
      <c r="L132" s="12"/>
      <c r="M132" s="119"/>
      <c r="N132" s="13"/>
      <c r="O132" s="137"/>
      <c r="P132" s="12"/>
      <c r="S132" s="5"/>
      <c r="T132" s="57"/>
      <c r="U132" s="57"/>
      <c r="V132" s="57"/>
      <c r="W132" s="57"/>
      <c r="X132" s="57"/>
      <c r="Y132" s="57"/>
      <c r="Z132" s="57"/>
      <c r="AA132" s="33"/>
      <c r="AJ132" s="12"/>
      <c r="AK132" s="12"/>
      <c r="AL132" s="12"/>
      <c r="AM132" s="12"/>
      <c r="AN132" s="12"/>
      <c r="AO132" s="12"/>
      <c r="AP132" s="12"/>
      <c r="AQ132" s="12"/>
      <c r="AR132" s="12"/>
      <c r="AS132" s="12"/>
      <c r="AT132" s="12"/>
      <c r="AU132" s="12"/>
      <c r="AV132" s="12"/>
      <c r="AW132" s="12"/>
    </row>
    <row r="133" spans="3:49">
      <c r="C133" s="12"/>
      <c r="E133" s="12"/>
      <c r="F133" s="12"/>
      <c r="G133" s="12"/>
      <c r="H133" s="12"/>
      <c r="I133" s="12"/>
      <c r="J133" s="12"/>
      <c r="K133" s="12"/>
      <c r="L133" s="12"/>
      <c r="M133" s="119"/>
      <c r="N133" s="13"/>
      <c r="O133" s="137"/>
      <c r="P133" s="12"/>
      <c r="S133" s="303"/>
      <c r="T133" s="57"/>
      <c r="U133" s="57"/>
      <c r="V133" s="57"/>
      <c r="W133" s="57"/>
      <c r="X133" s="57"/>
      <c r="Y133" s="57"/>
      <c r="Z133" s="57"/>
      <c r="AA133" s="33"/>
      <c r="AJ133" s="12"/>
      <c r="AK133" s="12"/>
      <c r="AL133" s="12"/>
      <c r="AM133" s="12"/>
      <c r="AN133" s="12"/>
      <c r="AO133" s="12"/>
      <c r="AP133" s="12"/>
      <c r="AQ133" s="12"/>
      <c r="AR133" s="12"/>
      <c r="AS133" s="12"/>
      <c r="AT133" s="12"/>
      <c r="AU133" s="12"/>
      <c r="AV133" s="12"/>
      <c r="AW133" s="12"/>
    </row>
    <row r="134" spans="3:49">
      <c r="C134" s="12"/>
      <c r="E134" s="12"/>
      <c r="F134" s="12"/>
      <c r="G134" s="12"/>
      <c r="H134" s="12"/>
      <c r="I134" s="12"/>
      <c r="J134" s="12"/>
      <c r="K134" s="12"/>
      <c r="L134" s="12"/>
      <c r="M134" s="119"/>
      <c r="N134" s="13"/>
      <c r="O134" s="137"/>
      <c r="P134" s="12"/>
      <c r="T134" s="57"/>
      <c r="U134" s="57"/>
      <c r="V134" s="57"/>
      <c r="W134" s="57"/>
      <c r="X134" s="57"/>
      <c r="Y134" s="57"/>
      <c r="Z134" s="57"/>
      <c r="AA134" s="33"/>
      <c r="AJ134" s="12"/>
      <c r="AK134" s="12"/>
      <c r="AL134" s="12"/>
      <c r="AM134" s="12"/>
      <c r="AN134" s="12"/>
      <c r="AO134" s="12"/>
      <c r="AP134" s="12"/>
      <c r="AQ134" s="12"/>
      <c r="AR134" s="12"/>
      <c r="AS134" s="12"/>
      <c r="AT134" s="12"/>
      <c r="AU134" s="12"/>
      <c r="AV134" s="12"/>
      <c r="AW134" s="12"/>
    </row>
    <row r="135" spans="3:49">
      <c r="C135" s="12"/>
      <c r="E135" s="12"/>
      <c r="F135" s="12"/>
      <c r="G135" s="12"/>
      <c r="H135" s="12"/>
      <c r="I135" s="12"/>
      <c r="J135" s="12"/>
      <c r="K135" s="12"/>
      <c r="L135" s="12"/>
      <c r="M135" s="119"/>
      <c r="N135" s="13"/>
      <c r="O135" s="137"/>
      <c r="P135" s="12"/>
      <c r="T135" s="13"/>
      <c r="U135" s="13"/>
      <c r="W135" s="57"/>
      <c r="X135" s="57"/>
      <c r="Y135" s="57"/>
      <c r="Z135" s="57"/>
      <c r="AA135" s="33"/>
      <c r="AJ135" s="12"/>
      <c r="AK135" s="12"/>
      <c r="AL135" s="12"/>
      <c r="AM135" s="12"/>
      <c r="AN135" s="12"/>
      <c r="AO135" s="12"/>
      <c r="AP135" s="12"/>
      <c r="AQ135" s="12"/>
      <c r="AR135" s="12"/>
      <c r="AS135" s="12"/>
      <c r="AT135" s="12"/>
      <c r="AU135" s="12"/>
      <c r="AV135" s="12"/>
      <c r="AW135" s="12"/>
    </row>
    <row r="136" spans="3:49">
      <c r="C136" s="12"/>
      <c r="E136" s="12"/>
      <c r="F136" s="12"/>
      <c r="G136" s="12"/>
      <c r="H136" s="12"/>
      <c r="I136" s="12"/>
      <c r="J136" s="12"/>
      <c r="K136" s="12"/>
      <c r="L136" s="12"/>
      <c r="M136" s="119"/>
      <c r="N136" s="13"/>
      <c r="O136" s="137"/>
      <c r="P136" s="12"/>
      <c r="V136" s="58"/>
      <c r="W136" s="13"/>
      <c r="X136" s="13"/>
      <c r="Y136" s="57"/>
      <c r="Z136" s="57"/>
      <c r="AA136" s="33"/>
      <c r="AJ136" s="12"/>
      <c r="AK136" s="12"/>
      <c r="AL136" s="12"/>
      <c r="AM136" s="12"/>
      <c r="AN136" s="12"/>
      <c r="AO136" s="12"/>
      <c r="AP136" s="12"/>
      <c r="AQ136" s="12"/>
      <c r="AR136" s="12"/>
      <c r="AS136" s="12"/>
      <c r="AT136" s="12"/>
      <c r="AU136" s="12"/>
      <c r="AV136" s="12"/>
      <c r="AW136" s="12"/>
    </row>
    <row r="137" spans="3:49">
      <c r="C137" s="12"/>
      <c r="E137" s="12"/>
      <c r="F137" s="12"/>
      <c r="G137" s="12"/>
      <c r="H137" s="12"/>
      <c r="I137" s="12"/>
      <c r="J137" s="12"/>
      <c r="K137" s="12"/>
      <c r="L137" s="12"/>
      <c r="M137" s="119"/>
      <c r="N137" s="13"/>
      <c r="O137" s="137"/>
      <c r="P137" s="12"/>
      <c r="W137" s="13"/>
      <c r="Y137" s="57"/>
      <c r="Z137" s="57"/>
      <c r="AA137" s="33"/>
      <c r="AJ137" s="12"/>
      <c r="AK137" s="12"/>
      <c r="AL137" s="12"/>
      <c r="AM137" s="12"/>
      <c r="AN137" s="12"/>
      <c r="AO137" s="12"/>
      <c r="AP137" s="12"/>
      <c r="AQ137" s="12"/>
      <c r="AR137" s="12"/>
      <c r="AS137" s="12"/>
      <c r="AT137" s="12"/>
      <c r="AU137" s="12"/>
      <c r="AV137" s="12"/>
      <c r="AW137" s="12"/>
    </row>
    <row r="138" spans="3:49">
      <c r="C138" s="12"/>
      <c r="E138" s="12"/>
      <c r="F138" s="12"/>
      <c r="G138" s="12"/>
      <c r="H138" s="12"/>
      <c r="I138" s="12"/>
      <c r="J138" s="12"/>
      <c r="K138" s="12"/>
      <c r="L138" s="12"/>
      <c r="M138" s="119"/>
      <c r="N138" s="13"/>
      <c r="O138" s="137"/>
      <c r="P138" s="12"/>
      <c r="W138" s="13"/>
      <c r="Y138" s="57"/>
      <c r="Z138" s="57"/>
      <c r="AA138" s="33"/>
      <c r="AJ138" s="12"/>
      <c r="AK138" s="12"/>
      <c r="AL138" s="12"/>
      <c r="AM138" s="12"/>
      <c r="AN138" s="12"/>
      <c r="AO138" s="12"/>
      <c r="AP138" s="12"/>
      <c r="AQ138" s="12"/>
      <c r="AR138" s="12"/>
      <c r="AS138" s="12"/>
      <c r="AT138" s="12"/>
      <c r="AU138" s="12"/>
      <c r="AV138" s="12"/>
      <c r="AW138" s="12"/>
    </row>
    <row r="139" spans="3:49">
      <c r="C139" s="12"/>
      <c r="E139" s="12"/>
      <c r="F139" s="12"/>
      <c r="G139" s="12"/>
      <c r="H139" s="12"/>
      <c r="I139" s="12"/>
      <c r="J139" s="12"/>
      <c r="K139" s="12"/>
      <c r="L139" s="12"/>
      <c r="M139" s="119"/>
      <c r="N139" s="13"/>
      <c r="O139" s="137"/>
      <c r="P139" s="12"/>
      <c r="Y139" s="57"/>
      <c r="Z139" s="57"/>
      <c r="AA139" s="33"/>
      <c r="AJ139" s="12"/>
      <c r="AK139" s="12"/>
      <c r="AL139" s="12"/>
      <c r="AM139" s="12"/>
      <c r="AN139" s="12"/>
      <c r="AO139" s="12"/>
      <c r="AP139" s="12"/>
      <c r="AQ139" s="12"/>
      <c r="AR139" s="12"/>
      <c r="AS139" s="12"/>
      <c r="AT139" s="12"/>
      <c r="AU139" s="12"/>
      <c r="AV139" s="12"/>
      <c r="AW139" s="12"/>
    </row>
    <row r="140" spans="3:49">
      <c r="C140" s="12"/>
      <c r="E140" s="12"/>
      <c r="F140" s="12"/>
      <c r="G140" s="12"/>
      <c r="H140" s="12"/>
      <c r="I140" s="12"/>
      <c r="J140" s="12"/>
      <c r="K140" s="12"/>
      <c r="L140" s="12"/>
      <c r="M140" s="119"/>
      <c r="N140" s="12"/>
      <c r="O140" s="137"/>
      <c r="P140" s="12"/>
      <c r="Y140" s="13"/>
      <c r="Z140" s="13"/>
      <c r="AA140" s="12"/>
      <c r="AJ140" s="12"/>
      <c r="AK140" s="12"/>
      <c r="AL140" s="12"/>
      <c r="AM140" s="12"/>
      <c r="AN140" s="12"/>
      <c r="AO140" s="12"/>
      <c r="AP140" s="12"/>
      <c r="AQ140" s="12"/>
      <c r="AR140" s="12"/>
      <c r="AS140" s="12"/>
      <c r="AT140" s="12"/>
      <c r="AU140" s="12"/>
      <c r="AV140" s="12"/>
      <c r="AW140" s="12"/>
    </row>
    <row r="141" spans="3:49">
      <c r="C141" s="12"/>
      <c r="E141" s="12"/>
      <c r="F141" s="12"/>
      <c r="G141" s="12"/>
      <c r="H141" s="12"/>
      <c r="I141" s="12"/>
      <c r="J141" s="12"/>
      <c r="K141" s="12"/>
      <c r="L141" s="12"/>
      <c r="M141" s="119"/>
      <c r="N141" s="12"/>
      <c r="O141" s="137"/>
      <c r="P141" s="12"/>
      <c r="AJ141" s="12"/>
      <c r="AK141" s="12"/>
      <c r="AL141" s="12"/>
      <c r="AM141" s="12"/>
      <c r="AN141" s="12"/>
      <c r="AO141" s="12"/>
      <c r="AP141" s="12"/>
      <c r="AQ141" s="12"/>
      <c r="AR141" s="12"/>
      <c r="AS141" s="12"/>
      <c r="AT141" s="12"/>
      <c r="AU141" s="12"/>
      <c r="AV141" s="12"/>
      <c r="AW141" s="12"/>
    </row>
    <row r="142" spans="3:49">
      <c r="C142" s="12"/>
      <c r="E142" s="12"/>
      <c r="F142" s="12"/>
      <c r="G142" s="12"/>
      <c r="H142" s="12"/>
      <c r="I142" s="12"/>
      <c r="J142" s="12"/>
      <c r="K142" s="12"/>
      <c r="L142" s="12"/>
      <c r="M142" s="119"/>
      <c r="N142" s="13"/>
      <c r="O142" s="137"/>
      <c r="P142" s="12"/>
      <c r="AJ142" s="12"/>
      <c r="AK142" s="12"/>
      <c r="AL142" s="12"/>
      <c r="AM142" s="12"/>
      <c r="AN142" s="12"/>
      <c r="AO142" s="12"/>
      <c r="AP142" s="12"/>
      <c r="AQ142" s="12"/>
      <c r="AR142" s="12"/>
      <c r="AS142" s="12"/>
      <c r="AT142" s="12"/>
      <c r="AU142" s="12"/>
      <c r="AV142" s="12"/>
      <c r="AW142" s="12"/>
    </row>
    <row r="143" spans="3:49">
      <c r="C143" s="12"/>
      <c r="E143" s="12"/>
      <c r="F143" s="12"/>
      <c r="G143" s="12"/>
      <c r="H143" s="12"/>
      <c r="I143" s="12"/>
      <c r="J143" s="12"/>
      <c r="K143" s="12"/>
      <c r="L143" s="12"/>
      <c r="M143" s="119"/>
      <c r="N143" s="13"/>
      <c r="O143" s="137"/>
      <c r="P143" s="12"/>
      <c r="AJ143" s="12"/>
      <c r="AK143" s="12"/>
      <c r="AL143" s="12"/>
      <c r="AM143" s="12"/>
      <c r="AN143" s="12"/>
      <c r="AO143" s="12"/>
      <c r="AP143" s="12"/>
      <c r="AQ143" s="12"/>
      <c r="AR143" s="12"/>
      <c r="AS143" s="12"/>
      <c r="AT143" s="12"/>
      <c r="AU143" s="12"/>
      <c r="AV143" s="12"/>
      <c r="AW143" s="12"/>
    </row>
    <row r="144" spans="3:49">
      <c r="C144" s="12"/>
      <c r="E144" s="12"/>
      <c r="F144" s="12"/>
      <c r="G144" s="12"/>
      <c r="H144" s="12"/>
      <c r="I144" s="12"/>
      <c r="J144" s="12"/>
      <c r="K144" s="12"/>
      <c r="L144" s="12"/>
      <c r="M144" s="119"/>
      <c r="N144" s="13"/>
      <c r="O144" s="137"/>
      <c r="P144" s="12"/>
      <c r="T144" s="304"/>
      <c r="AJ144" s="12"/>
      <c r="AK144" s="12"/>
      <c r="AL144" s="12"/>
      <c r="AM144" s="12"/>
      <c r="AN144" s="12"/>
      <c r="AO144" s="12"/>
      <c r="AP144" s="12"/>
      <c r="AQ144" s="12"/>
      <c r="AR144" s="12"/>
      <c r="AS144" s="12"/>
      <c r="AT144" s="12"/>
      <c r="AU144" s="12"/>
      <c r="AV144" s="12"/>
      <c r="AW144" s="12"/>
    </row>
    <row r="145" spans="3:49">
      <c r="C145" s="24"/>
      <c r="E145" s="12"/>
      <c r="F145" s="12"/>
      <c r="G145" s="12"/>
      <c r="H145" s="12"/>
      <c r="I145" s="12"/>
      <c r="J145" s="12"/>
      <c r="K145" s="12"/>
      <c r="L145" s="12"/>
      <c r="M145" s="119"/>
      <c r="N145" s="13"/>
      <c r="O145" s="137"/>
      <c r="P145" s="12"/>
      <c r="S145" s="303"/>
      <c r="AJ145" s="12"/>
      <c r="AK145" s="12"/>
      <c r="AL145" s="12"/>
      <c r="AM145" s="12"/>
      <c r="AN145" s="12"/>
      <c r="AO145" s="12"/>
      <c r="AP145" s="12"/>
      <c r="AQ145" s="12"/>
      <c r="AR145" s="12"/>
      <c r="AS145" s="12"/>
      <c r="AT145" s="12"/>
      <c r="AU145" s="12"/>
      <c r="AV145" s="12"/>
      <c r="AW145" s="12"/>
    </row>
    <row r="146" spans="3:49">
      <c r="C146" s="12"/>
      <c r="E146" s="12"/>
      <c r="F146" s="12"/>
      <c r="G146" s="12"/>
      <c r="H146" s="12"/>
      <c r="I146" s="12"/>
      <c r="J146" s="12"/>
      <c r="K146" s="12"/>
      <c r="L146" s="12"/>
      <c r="M146" s="119"/>
      <c r="N146" s="13"/>
      <c r="O146" s="137"/>
      <c r="P146" s="12"/>
      <c r="AJ146" s="12"/>
      <c r="AK146" s="12"/>
      <c r="AL146" s="12"/>
      <c r="AM146" s="12"/>
      <c r="AN146" s="12"/>
      <c r="AO146" s="12"/>
      <c r="AP146" s="12"/>
      <c r="AQ146" s="12"/>
      <c r="AR146" s="12"/>
      <c r="AS146" s="12"/>
      <c r="AT146" s="12"/>
      <c r="AU146" s="12"/>
      <c r="AV146" s="12"/>
      <c r="AW146" s="12"/>
    </row>
    <row r="147" spans="3:49">
      <c r="C147" s="12"/>
      <c r="E147" s="12"/>
      <c r="F147" s="12"/>
      <c r="G147" s="12"/>
      <c r="H147" s="12"/>
      <c r="I147" s="12"/>
      <c r="J147" s="12"/>
      <c r="K147" s="12"/>
      <c r="L147" s="12"/>
      <c r="M147" s="119"/>
      <c r="N147" s="13"/>
      <c r="O147" s="137"/>
      <c r="P147" s="12"/>
      <c r="AJ147" s="12"/>
      <c r="AK147" s="12"/>
      <c r="AL147" s="12"/>
      <c r="AM147" s="12"/>
      <c r="AN147" s="12"/>
      <c r="AO147" s="12"/>
      <c r="AP147" s="12"/>
      <c r="AQ147" s="12"/>
      <c r="AR147" s="12"/>
      <c r="AS147" s="12"/>
      <c r="AT147" s="12"/>
      <c r="AU147" s="12"/>
      <c r="AV147" s="12"/>
      <c r="AW147" s="12"/>
    </row>
    <row r="148" spans="3:49">
      <c r="C148" s="12"/>
      <c r="E148" s="12"/>
      <c r="F148" s="12"/>
      <c r="G148" s="12"/>
      <c r="H148" s="12"/>
      <c r="I148" s="12"/>
      <c r="J148" s="12"/>
      <c r="K148" s="12"/>
      <c r="L148" s="12"/>
      <c r="M148" s="119"/>
      <c r="N148" s="13"/>
      <c r="O148" s="137"/>
      <c r="P148" s="12"/>
      <c r="AJ148" s="12"/>
      <c r="AK148" s="12"/>
      <c r="AL148" s="12"/>
      <c r="AM148" s="12"/>
      <c r="AN148" s="12"/>
      <c r="AO148" s="12"/>
      <c r="AP148" s="12"/>
      <c r="AQ148" s="12"/>
      <c r="AR148" s="12"/>
      <c r="AS148" s="12"/>
      <c r="AT148" s="12"/>
      <c r="AU148" s="12"/>
      <c r="AV148" s="12"/>
      <c r="AW148" s="12"/>
    </row>
    <row r="149" spans="3:49">
      <c r="C149" s="12"/>
      <c r="E149" s="12"/>
      <c r="F149" s="12"/>
      <c r="G149" s="12"/>
      <c r="H149" s="12"/>
      <c r="I149" s="12"/>
      <c r="J149" s="12"/>
      <c r="K149" s="12"/>
      <c r="L149" s="12"/>
      <c r="M149" s="119"/>
      <c r="N149" s="13"/>
      <c r="O149" s="137"/>
      <c r="P149" s="12"/>
      <c r="AJ149" s="12"/>
      <c r="AK149" s="12"/>
      <c r="AL149" s="12"/>
      <c r="AM149" s="12"/>
      <c r="AN149" s="12"/>
      <c r="AO149" s="12"/>
      <c r="AP149" s="12"/>
      <c r="AQ149" s="12"/>
      <c r="AR149" s="12"/>
      <c r="AS149" s="12"/>
      <c r="AT149" s="12"/>
      <c r="AU149" s="12"/>
      <c r="AV149" s="12"/>
      <c r="AW149" s="12"/>
    </row>
    <row r="150" spans="3:49">
      <c r="C150" s="12"/>
      <c r="E150" s="12"/>
      <c r="F150" s="12"/>
      <c r="G150" s="12"/>
      <c r="H150" s="12"/>
      <c r="I150" s="12"/>
      <c r="J150" s="12"/>
      <c r="K150" s="12"/>
      <c r="L150" s="12"/>
      <c r="M150" s="119"/>
      <c r="N150" s="12"/>
      <c r="O150" s="137"/>
      <c r="P150" s="12"/>
      <c r="AJ150" s="12"/>
      <c r="AK150" s="12"/>
      <c r="AL150" s="12"/>
      <c r="AM150" s="12"/>
      <c r="AN150" s="12"/>
      <c r="AO150" s="12"/>
      <c r="AP150" s="12"/>
      <c r="AQ150" s="12"/>
      <c r="AR150" s="12"/>
      <c r="AS150" s="12"/>
      <c r="AT150" s="12"/>
      <c r="AU150" s="12"/>
      <c r="AV150" s="12"/>
      <c r="AW150" s="12"/>
    </row>
    <row r="151" spans="3:49">
      <c r="C151" s="12"/>
      <c r="E151" s="12"/>
      <c r="F151" s="12"/>
      <c r="G151" s="12"/>
      <c r="H151" s="12"/>
      <c r="I151" s="12"/>
      <c r="J151" s="12"/>
      <c r="K151" s="12"/>
      <c r="L151" s="12"/>
      <c r="M151" s="119"/>
      <c r="N151" s="12"/>
      <c r="O151" s="137"/>
      <c r="P151" s="12"/>
      <c r="AJ151" s="12"/>
      <c r="AK151" s="12"/>
      <c r="AL151" s="12"/>
      <c r="AM151" s="12"/>
      <c r="AN151" s="12"/>
      <c r="AO151" s="12"/>
      <c r="AP151" s="12"/>
      <c r="AQ151" s="12"/>
      <c r="AR151" s="12"/>
      <c r="AS151" s="12"/>
      <c r="AT151" s="12"/>
      <c r="AU151" s="12"/>
      <c r="AV151" s="12"/>
      <c r="AW151" s="12"/>
    </row>
    <row r="152" spans="3:49">
      <c r="C152" s="12"/>
      <c r="E152" s="12"/>
      <c r="F152" s="12"/>
      <c r="G152" s="12"/>
      <c r="H152" s="12"/>
      <c r="I152" s="12"/>
      <c r="J152" s="12"/>
      <c r="K152" s="12"/>
      <c r="L152" s="12"/>
      <c r="M152" s="119"/>
      <c r="N152" s="13"/>
      <c r="O152" s="137"/>
      <c r="P152" s="12"/>
      <c r="AJ152" s="12"/>
      <c r="AK152" s="12"/>
      <c r="AL152" s="12"/>
      <c r="AM152" s="12"/>
      <c r="AN152" s="12"/>
      <c r="AO152" s="12"/>
      <c r="AP152" s="12"/>
      <c r="AQ152" s="12"/>
      <c r="AR152" s="12"/>
      <c r="AS152" s="12"/>
      <c r="AT152" s="12"/>
      <c r="AU152" s="12"/>
      <c r="AV152" s="12"/>
      <c r="AW152" s="12"/>
    </row>
    <row r="153" spans="3:49">
      <c r="C153" s="12"/>
      <c r="E153" s="12"/>
      <c r="F153" s="12"/>
      <c r="G153" s="12"/>
      <c r="H153" s="12"/>
      <c r="I153" s="12"/>
      <c r="J153" s="12"/>
      <c r="K153" s="12"/>
      <c r="L153" s="12"/>
      <c r="M153" s="119"/>
      <c r="N153" s="13"/>
      <c r="O153" s="137"/>
      <c r="P153" s="12"/>
      <c r="AJ153" s="12"/>
      <c r="AK153" s="12"/>
      <c r="AL153" s="12"/>
      <c r="AM153" s="12"/>
      <c r="AN153" s="12"/>
      <c r="AO153" s="12"/>
      <c r="AP153" s="12"/>
      <c r="AQ153" s="12"/>
      <c r="AR153" s="12"/>
      <c r="AS153" s="12"/>
      <c r="AT153" s="12"/>
      <c r="AU153" s="12"/>
      <c r="AV153" s="12"/>
      <c r="AW153" s="12"/>
    </row>
    <row r="154" spans="3:49">
      <c r="C154" s="12"/>
      <c r="E154" s="12"/>
      <c r="F154" s="12"/>
      <c r="G154" s="12"/>
      <c r="H154" s="12"/>
      <c r="I154" s="12"/>
      <c r="J154" s="12"/>
      <c r="K154" s="12"/>
      <c r="L154" s="12"/>
      <c r="M154" s="119"/>
      <c r="N154" s="13"/>
      <c r="O154" s="137"/>
      <c r="P154" s="12"/>
      <c r="AJ154" s="12"/>
      <c r="AK154" s="12"/>
      <c r="AL154" s="12"/>
      <c r="AM154" s="12"/>
      <c r="AN154" s="12"/>
      <c r="AO154" s="12"/>
      <c r="AP154" s="12"/>
      <c r="AQ154" s="12"/>
      <c r="AR154" s="12"/>
      <c r="AS154" s="12"/>
      <c r="AT154" s="12"/>
      <c r="AU154" s="12"/>
      <c r="AV154" s="12"/>
      <c r="AW154" s="12"/>
    </row>
    <row r="155" spans="3:49">
      <c r="C155" s="24"/>
      <c r="E155" s="12"/>
      <c r="F155" s="12"/>
      <c r="G155" s="12"/>
      <c r="H155" s="12"/>
      <c r="I155" s="12"/>
      <c r="J155" s="12"/>
      <c r="K155" s="12"/>
      <c r="L155" s="12"/>
      <c r="M155" s="139"/>
      <c r="N155" s="24"/>
      <c r="O155" s="138"/>
      <c r="P155" s="12"/>
      <c r="AJ155" s="12"/>
      <c r="AK155" s="12"/>
      <c r="AL155" s="12"/>
      <c r="AM155" s="12"/>
      <c r="AN155" s="12"/>
      <c r="AO155" s="12"/>
      <c r="AP155" s="12"/>
      <c r="AQ155" s="12"/>
      <c r="AR155" s="12"/>
      <c r="AS155" s="12"/>
      <c r="AT155" s="12"/>
      <c r="AU155" s="12"/>
      <c r="AV155" s="12"/>
      <c r="AW155" s="12"/>
    </row>
    <row r="156" spans="3:49">
      <c r="C156" s="12"/>
      <c r="E156" s="12"/>
      <c r="F156" s="12"/>
      <c r="G156" s="12"/>
      <c r="H156" s="12"/>
      <c r="I156" s="12"/>
      <c r="J156" s="12"/>
      <c r="K156" s="12"/>
      <c r="L156" s="12"/>
      <c r="M156" s="33"/>
      <c r="N156" s="12"/>
      <c r="O156" s="12"/>
      <c r="P156" s="12"/>
      <c r="AJ156" s="12"/>
      <c r="AK156" s="12"/>
      <c r="AL156" s="12"/>
      <c r="AM156" s="12"/>
      <c r="AN156" s="12"/>
      <c r="AO156" s="12"/>
      <c r="AP156" s="12"/>
      <c r="AQ156" s="12"/>
      <c r="AR156" s="12"/>
      <c r="AS156" s="12"/>
      <c r="AT156" s="12"/>
      <c r="AU156" s="12"/>
      <c r="AV156" s="12"/>
      <c r="AW156" s="12"/>
    </row>
    <row r="157" spans="3:49">
      <c r="C157" s="12"/>
      <c r="E157" s="12"/>
      <c r="F157" s="12"/>
      <c r="G157" s="12"/>
      <c r="H157" s="12"/>
      <c r="I157" s="12"/>
      <c r="J157" s="12"/>
      <c r="K157" s="12"/>
      <c r="L157" s="12"/>
      <c r="M157" s="119"/>
      <c r="N157" s="13"/>
      <c r="O157" s="13"/>
      <c r="P157" s="12"/>
      <c r="AJ157" s="12"/>
      <c r="AK157" s="12"/>
      <c r="AL157" s="12"/>
      <c r="AM157" s="12"/>
      <c r="AN157" s="12"/>
      <c r="AO157" s="12"/>
      <c r="AP157" s="12"/>
      <c r="AQ157" s="12"/>
      <c r="AR157" s="12"/>
      <c r="AS157" s="12"/>
      <c r="AT157" s="12"/>
      <c r="AU157" s="12"/>
      <c r="AV157" s="12"/>
      <c r="AW157" s="12"/>
    </row>
    <row r="158" spans="3:49">
      <c r="C158" s="12"/>
      <c r="E158" s="12"/>
      <c r="F158" s="12"/>
      <c r="G158" s="12"/>
      <c r="H158" s="12"/>
      <c r="I158" s="12"/>
      <c r="J158" s="12"/>
      <c r="K158" s="12"/>
      <c r="L158" s="12"/>
      <c r="M158" s="119"/>
      <c r="N158" s="13"/>
      <c r="O158" s="13"/>
      <c r="P158" s="12"/>
      <c r="AJ158" s="12"/>
      <c r="AK158" s="12"/>
      <c r="AL158" s="12"/>
      <c r="AM158" s="12"/>
      <c r="AN158" s="12"/>
      <c r="AO158" s="12"/>
      <c r="AP158" s="12"/>
      <c r="AQ158" s="12"/>
      <c r="AR158" s="12"/>
      <c r="AS158" s="12"/>
      <c r="AT158" s="12"/>
      <c r="AU158" s="12"/>
      <c r="AV158" s="12"/>
      <c r="AW158" s="12"/>
    </row>
    <row r="159" spans="3:49">
      <c r="C159" s="24"/>
      <c r="D159" s="24"/>
      <c r="E159" s="24"/>
      <c r="F159" s="24"/>
      <c r="G159" s="24"/>
      <c r="H159" s="24"/>
      <c r="I159" s="24"/>
      <c r="J159" s="24"/>
      <c r="K159" s="24"/>
      <c r="L159" s="24"/>
      <c r="M159" s="119"/>
      <c r="N159" s="13"/>
      <c r="O159" s="13"/>
      <c r="P159" s="12"/>
      <c r="AJ159" s="12"/>
      <c r="AK159" s="12"/>
      <c r="AL159" s="12"/>
      <c r="AM159" s="12"/>
      <c r="AN159" s="12"/>
      <c r="AO159" s="12"/>
      <c r="AP159" s="12"/>
      <c r="AQ159" s="12"/>
      <c r="AR159" s="12"/>
      <c r="AS159" s="12"/>
      <c r="AT159" s="12"/>
      <c r="AU159" s="12"/>
      <c r="AV159" s="12"/>
      <c r="AW159" s="12"/>
    </row>
    <row r="160" spans="3:49">
      <c r="C160" s="12"/>
      <c r="E160" s="12"/>
      <c r="F160" s="12"/>
      <c r="G160" s="12"/>
      <c r="H160" s="12"/>
      <c r="I160" s="12"/>
      <c r="J160" s="12"/>
      <c r="K160" s="12"/>
      <c r="L160" s="12"/>
      <c r="AJ160" s="12"/>
      <c r="AK160" s="12"/>
      <c r="AL160" s="12"/>
      <c r="AM160" s="12"/>
      <c r="AN160" s="12"/>
      <c r="AO160" s="12"/>
      <c r="AP160" s="12"/>
      <c r="AQ160" s="12"/>
      <c r="AR160" s="12"/>
      <c r="AS160" s="12"/>
      <c r="AT160" s="12"/>
      <c r="AU160" s="12"/>
      <c r="AV160" s="12"/>
      <c r="AW160" s="12"/>
    </row>
    <row r="161" spans="3:49">
      <c r="C161" s="12"/>
      <c r="E161" s="118"/>
      <c r="F161" s="12"/>
      <c r="G161" s="12"/>
      <c r="H161" s="12"/>
      <c r="I161" s="13"/>
      <c r="J161" s="12"/>
      <c r="K161" s="12"/>
      <c r="L161" s="12"/>
      <c r="AJ161" s="12"/>
      <c r="AK161" s="12"/>
      <c r="AL161" s="12"/>
      <c r="AM161" s="12"/>
      <c r="AN161" s="12"/>
      <c r="AO161" s="12"/>
      <c r="AP161" s="12"/>
      <c r="AQ161" s="12"/>
      <c r="AR161" s="12"/>
      <c r="AS161" s="12"/>
      <c r="AT161" s="12"/>
      <c r="AU161" s="12"/>
      <c r="AV161" s="12"/>
      <c r="AW161" s="12"/>
    </row>
    <row r="162" spans="3:49">
      <c r="C162" s="12"/>
      <c r="E162" s="12"/>
      <c r="F162" s="12"/>
      <c r="G162" s="12"/>
      <c r="H162" s="12"/>
      <c r="I162" s="13"/>
      <c r="J162" s="12"/>
      <c r="K162" s="12"/>
      <c r="L162" s="12"/>
      <c r="AJ162" s="12"/>
      <c r="AK162" s="12"/>
      <c r="AL162" s="12"/>
      <c r="AM162" s="12"/>
      <c r="AN162" s="12"/>
      <c r="AO162" s="12"/>
      <c r="AP162" s="12"/>
      <c r="AQ162" s="12"/>
      <c r="AR162" s="12"/>
      <c r="AS162" s="12"/>
      <c r="AT162" s="12"/>
      <c r="AU162" s="12"/>
      <c r="AV162" s="12"/>
      <c r="AW162" s="12"/>
    </row>
    <row r="163" spans="3:49" ht="14.25" customHeight="1">
      <c r="C163" s="12"/>
      <c r="E163" s="12"/>
      <c r="F163" s="12"/>
      <c r="G163" s="12"/>
      <c r="H163" s="12"/>
      <c r="I163" s="13"/>
      <c r="J163" s="12"/>
      <c r="K163" s="12"/>
      <c r="L163" s="12"/>
      <c r="AJ163" s="12"/>
      <c r="AK163" s="12"/>
      <c r="AL163" s="12"/>
      <c r="AM163" s="12"/>
      <c r="AN163" s="12"/>
      <c r="AO163" s="12"/>
      <c r="AP163" s="12"/>
      <c r="AQ163" s="12"/>
      <c r="AR163" s="12"/>
      <c r="AS163" s="12"/>
      <c r="AT163" s="12"/>
      <c r="AU163" s="12"/>
      <c r="AV163" s="12"/>
      <c r="AW163" s="12"/>
    </row>
    <row r="164" spans="3:49">
      <c r="AJ164" s="12"/>
      <c r="AK164" s="12"/>
      <c r="AL164" s="12"/>
      <c r="AM164" s="12"/>
      <c r="AN164" s="12"/>
      <c r="AO164" s="12"/>
      <c r="AP164" s="12"/>
      <c r="AQ164" s="12"/>
      <c r="AR164" s="12"/>
      <c r="AS164" s="12"/>
      <c r="AT164" s="12"/>
      <c r="AU164" s="12"/>
      <c r="AV164" s="12"/>
      <c r="AW164" s="12"/>
    </row>
    <row r="165" spans="3:49">
      <c r="AJ165" s="12"/>
      <c r="AK165" s="12"/>
      <c r="AL165" s="12"/>
      <c r="AM165" s="12"/>
      <c r="AN165" s="12"/>
      <c r="AO165" s="12"/>
      <c r="AP165" s="12"/>
      <c r="AQ165" s="12"/>
      <c r="AR165" s="12"/>
      <c r="AS165" s="12"/>
      <c r="AT165" s="12"/>
      <c r="AU165" s="12"/>
      <c r="AV165" s="12"/>
      <c r="AW165" s="12"/>
    </row>
    <row r="166" spans="3:49">
      <c r="AJ166" s="12"/>
      <c r="AK166" s="12"/>
      <c r="AL166" s="12"/>
      <c r="AM166" s="12"/>
      <c r="AN166" s="12"/>
      <c r="AO166" s="12"/>
      <c r="AP166" s="12"/>
      <c r="AQ166" s="12"/>
      <c r="AR166" s="12"/>
      <c r="AS166" s="12"/>
      <c r="AT166" s="12"/>
      <c r="AU166" s="12"/>
      <c r="AV166" s="12"/>
      <c r="AW166" s="12"/>
    </row>
    <row r="167" spans="3:49">
      <c r="AJ167" s="12"/>
      <c r="AK167" s="12"/>
      <c r="AL167" s="12"/>
      <c r="AM167" s="12"/>
      <c r="AN167" s="12"/>
      <c r="AO167" s="12"/>
      <c r="AP167" s="12"/>
      <c r="AQ167" s="12"/>
      <c r="AR167" s="12"/>
      <c r="AS167" s="12"/>
      <c r="AT167" s="12"/>
      <c r="AU167" s="12"/>
      <c r="AV167" s="12"/>
      <c r="AW167" s="12"/>
    </row>
    <row r="168" spans="3:49">
      <c r="AJ168" s="12"/>
      <c r="AK168" s="12"/>
      <c r="AL168" s="12"/>
      <c r="AM168" s="12"/>
      <c r="AN168" s="12"/>
      <c r="AO168" s="12"/>
      <c r="AP168" s="12"/>
      <c r="AQ168" s="12"/>
      <c r="AR168" s="12"/>
      <c r="AS168" s="12"/>
      <c r="AT168" s="12"/>
      <c r="AU168" s="12"/>
      <c r="AV168" s="12"/>
      <c r="AW168" s="12"/>
    </row>
    <row r="169" spans="3:49">
      <c r="AJ169" s="12"/>
      <c r="AK169" s="12"/>
      <c r="AL169" s="12"/>
      <c r="AM169" s="12"/>
      <c r="AN169" s="12"/>
      <c r="AO169" s="12"/>
      <c r="AP169" s="12"/>
      <c r="AQ169" s="12"/>
      <c r="AR169" s="12"/>
      <c r="AS169" s="12"/>
      <c r="AT169" s="12"/>
      <c r="AU169" s="12"/>
      <c r="AV169" s="12"/>
      <c r="AW169" s="12"/>
    </row>
    <row r="170" spans="3:49">
      <c r="AJ170" s="12"/>
      <c r="AK170" s="12"/>
      <c r="AL170" s="12"/>
      <c r="AM170" s="12"/>
      <c r="AN170" s="12"/>
      <c r="AO170" s="12"/>
      <c r="AP170" s="12"/>
      <c r="AQ170" s="12"/>
      <c r="AR170" s="12"/>
      <c r="AS170" s="12"/>
      <c r="AT170" s="12"/>
      <c r="AU170" s="12"/>
      <c r="AV170" s="12"/>
      <c r="AW170" s="12"/>
    </row>
    <row r="171" spans="3:49">
      <c r="AJ171" s="12"/>
      <c r="AK171" s="12"/>
      <c r="AL171" s="12"/>
      <c r="AM171" s="12"/>
      <c r="AN171" s="12"/>
      <c r="AO171" s="12"/>
      <c r="AP171" s="12"/>
      <c r="AQ171" s="12"/>
      <c r="AR171" s="12"/>
      <c r="AS171" s="12"/>
      <c r="AT171" s="12"/>
      <c r="AU171" s="12"/>
      <c r="AV171" s="12"/>
      <c r="AW171" s="12"/>
    </row>
    <row r="172" spans="3:49">
      <c r="AJ172" s="12"/>
      <c r="AK172" s="12"/>
      <c r="AL172" s="12"/>
      <c r="AM172" s="12"/>
      <c r="AN172" s="12"/>
      <c r="AO172" s="12"/>
      <c r="AP172" s="12"/>
      <c r="AQ172" s="12"/>
      <c r="AR172" s="12"/>
      <c r="AS172" s="12"/>
      <c r="AT172" s="12"/>
      <c r="AU172" s="12"/>
      <c r="AV172" s="12"/>
      <c r="AW172" s="12"/>
    </row>
    <row r="173" spans="3:49">
      <c r="AJ173" s="12"/>
      <c r="AK173" s="12"/>
      <c r="AL173" s="12"/>
      <c r="AM173" s="12"/>
      <c r="AN173" s="12"/>
      <c r="AO173" s="12"/>
      <c r="AP173" s="12"/>
      <c r="AQ173" s="12"/>
      <c r="AR173" s="12"/>
      <c r="AS173" s="12"/>
      <c r="AT173" s="12"/>
      <c r="AU173" s="12"/>
      <c r="AV173" s="12"/>
      <c r="AW173" s="12"/>
    </row>
    <row r="174" spans="3:49">
      <c r="AJ174" s="12"/>
      <c r="AK174" s="12"/>
      <c r="AL174" s="12"/>
      <c r="AM174" s="12"/>
      <c r="AN174" s="12"/>
      <c r="AO174" s="12"/>
      <c r="AP174" s="12"/>
      <c r="AQ174" s="12"/>
      <c r="AR174" s="12"/>
      <c r="AS174" s="12"/>
      <c r="AT174" s="12"/>
      <c r="AU174" s="12"/>
      <c r="AV174" s="12"/>
      <c r="AW174" s="12"/>
    </row>
    <row r="175" spans="3:49">
      <c r="AJ175" s="12"/>
      <c r="AK175" s="12"/>
      <c r="AL175" s="12"/>
      <c r="AM175" s="12"/>
      <c r="AN175" s="12"/>
      <c r="AO175" s="12"/>
      <c r="AP175" s="12"/>
      <c r="AQ175" s="12"/>
      <c r="AR175" s="12"/>
      <c r="AS175" s="12"/>
      <c r="AT175" s="12"/>
      <c r="AU175" s="12"/>
      <c r="AV175" s="12"/>
      <c r="AW175" s="12"/>
    </row>
    <row r="176" spans="3:49">
      <c r="AJ176" s="12"/>
      <c r="AK176" s="12"/>
      <c r="AL176" s="12"/>
      <c r="AM176" s="12"/>
      <c r="AN176" s="12"/>
      <c r="AO176" s="12"/>
      <c r="AP176" s="12"/>
      <c r="AQ176" s="12"/>
      <c r="AR176" s="12"/>
      <c r="AS176" s="12"/>
      <c r="AT176" s="12"/>
      <c r="AU176" s="12"/>
      <c r="AV176" s="12"/>
      <c r="AW176" s="12"/>
    </row>
    <row r="177" spans="36:49">
      <c r="AJ177" s="12"/>
      <c r="AK177" s="12"/>
      <c r="AL177" s="12"/>
      <c r="AM177" s="12"/>
      <c r="AN177" s="12"/>
      <c r="AO177" s="12"/>
      <c r="AP177" s="12"/>
      <c r="AQ177" s="12"/>
      <c r="AR177" s="12"/>
      <c r="AS177" s="12"/>
      <c r="AT177" s="12"/>
      <c r="AU177" s="12"/>
      <c r="AV177" s="12"/>
      <c r="AW177" s="12"/>
    </row>
    <row r="178" spans="36:49">
      <c r="AJ178" s="12"/>
      <c r="AK178" s="12"/>
      <c r="AL178" s="12"/>
      <c r="AM178" s="12"/>
      <c r="AN178" s="12"/>
      <c r="AO178" s="12"/>
      <c r="AP178" s="12"/>
      <c r="AQ178" s="12"/>
      <c r="AR178" s="12"/>
      <c r="AS178" s="12"/>
      <c r="AT178" s="12"/>
      <c r="AU178" s="12"/>
      <c r="AV178" s="12"/>
      <c r="AW178" s="12"/>
    </row>
    <row r="179" spans="36:49">
      <c r="AJ179" s="12"/>
      <c r="AK179" s="12"/>
      <c r="AL179" s="12"/>
      <c r="AM179" s="12"/>
      <c r="AN179" s="12"/>
      <c r="AO179" s="12"/>
      <c r="AP179" s="12"/>
      <c r="AQ179" s="12"/>
      <c r="AR179" s="12"/>
      <c r="AS179" s="12"/>
      <c r="AT179" s="12"/>
      <c r="AU179" s="12"/>
      <c r="AV179" s="12"/>
      <c r="AW179" s="12"/>
    </row>
    <row r="180" spans="36:49">
      <c r="AJ180" s="12"/>
      <c r="AK180" s="12"/>
      <c r="AL180" s="12"/>
      <c r="AM180" s="12"/>
      <c r="AN180" s="12"/>
      <c r="AO180" s="12"/>
      <c r="AP180" s="12"/>
      <c r="AQ180" s="12"/>
      <c r="AR180" s="12"/>
      <c r="AS180" s="12"/>
      <c r="AT180" s="12"/>
      <c r="AU180" s="12"/>
      <c r="AV180" s="12"/>
      <c r="AW180" s="12"/>
    </row>
    <row r="181" spans="36:49">
      <c r="AJ181" s="12"/>
      <c r="AK181" s="12"/>
      <c r="AL181" s="12"/>
      <c r="AM181" s="12"/>
      <c r="AN181" s="12"/>
      <c r="AO181" s="12"/>
      <c r="AP181" s="12"/>
      <c r="AQ181" s="12"/>
      <c r="AR181" s="12"/>
      <c r="AS181" s="12"/>
      <c r="AT181" s="12"/>
      <c r="AU181" s="12"/>
      <c r="AV181" s="12"/>
      <c r="AW181" s="12"/>
    </row>
    <row r="182" spans="36:49">
      <c r="AJ182" s="12"/>
      <c r="AK182" s="12"/>
      <c r="AL182" s="12"/>
      <c r="AM182" s="12"/>
      <c r="AN182" s="12"/>
      <c r="AO182" s="12"/>
      <c r="AP182" s="12"/>
      <c r="AQ182" s="12"/>
      <c r="AR182" s="12"/>
      <c r="AS182" s="12"/>
      <c r="AT182" s="12"/>
      <c r="AU182" s="12"/>
      <c r="AV182" s="12"/>
      <c r="AW182" s="12"/>
    </row>
    <row r="183" spans="36:49">
      <c r="AJ183" s="12"/>
      <c r="AK183" s="12"/>
      <c r="AL183" s="12"/>
      <c r="AM183" s="12"/>
      <c r="AN183" s="12"/>
      <c r="AO183" s="12"/>
      <c r="AP183" s="12"/>
      <c r="AQ183" s="12"/>
      <c r="AR183" s="12"/>
      <c r="AS183" s="12"/>
      <c r="AT183" s="12"/>
      <c r="AU183" s="12"/>
      <c r="AV183" s="12"/>
      <c r="AW183" s="12"/>
    </row>
    <row r="184" spans="36:49">
      <c r="AJ184" s="12"/>
      <c r="AK184" s="12"/>
      <c r="AL184" s="12"/>
      <c r="AM184" s="12"/>
      <c r="AN184" s="12"/>
      <c r="AO184" s="12"/>
      <c r="AP184" s="12"/>
      <c r="AQ184" s="12"/>
      <c r="AR184" s="12"/>
      <c r="AS184" s="12"/>
      <c r="AT184" s="12"/>
      <c r="AU184" s="12"/>
      <c r="AV184" s="12"/>
      <c r="AW184" s="12"/>
    </row>
    <row r="185" spans="36:49">
      <c r="AJ185" s="12"/>
      <c r="AK185" s="12"/>
      <c r="AL185" s="12"/>
      <c r="AM185" s="12"/>
      <c r="AN185" s="12"/>
      <c r="AO185" s="12"/>
      <c r="AP185" s="12"/>
      <c r="AQ185" s="12"/>
      <c r="AR185" s="12"/>
      <c r="AS185" s="12"/>
      <c r="AT185" s="12"/>
      <c r="AU185" s="12"/>
      <c r="AV185" s="12"/>
      <c r="AW185" s="12"/>
    </row>
    <row r="186" spans="36:49">
      <c r="AJ186" s="12"/>
      <c r="AK186" s="12"/>
      <c r="AL186" s="12"/>
      <c r="AM186" s="12"/>
      <c r="AN186" s="12"/>
      <c r="AO186" s="12"/>
      <c r="AP186" s="12"/>
      <c r="AQ186" s="12"/>
      <c r="AR186" s="12"/>
      <c r="AS186" s="12"/>
      <c r="AT186" s="12"/>
      <c r="AU186" s="12"/>
      <c r="AV186" s="12"/>
      <c r="AW186" s="12"/>
    </row>
    <row r="187" spans="36:49">
      <c r="AJ187" s="12"/>
      <c r="AK187" s="12"/>
      <c r="AL187" s="12"/>
      <c r="AM187" s="12"/>
      <c r="AN187" s="12"/>
      <c r="AO187" s="12"/>
      <c r="AP187" s="12"/>
      <c r="AQ187" s="12"/>
      <c r="AR187" s="12"/>
      <c r="AS187" s="12"/>
      <c r="AT187" s="12"/>
      <c r="AU187" s="12"/>
      <c r="AV187" s="12"/>
      <c r="AW187" s="12"/>
    </row>
    <row r="188" spans="36:49">
      <c r="AJ188" s="12"/>
      <c r="AK188" s="12"/>
      <c r="AL188" s="12"/>
      <c r="AM188" s="12"/>
      <c r="AN188" s="12"/>
      <c r="AO188" s="12"/>
      <c r="AP188" s="12"/>
      <c r="AQ188" s="12"/>
      <c r="AR188" s="12"/>
      <c r="AS188" s="12"/>
      <c r="AT188" s="12"/>
      <c r="AU188" s="12"/>
      <c r="AV188" s="12"/>
      <c r="AW188" s="12"/>
    </row>
    <row r="189" spans="36:49">
      <c r="AJ189" s="12"/>
      <c r="AK189" s="12"/>
      <c r="AL189" s="12"/>
      <c r="AM189" s="12"/>
      <c r="AN189" s="12"/>
      <c r="AO189" s="12"/>
      <c r="AP189" s="12"/>
      <c r="AQ189" s="12"/>
      <c r="AR189" s="12"/>
      <c r="AS189" s="12"/>
      <c r="AT189" s="12"/>
      <c r="AU189" s="12"/>
      <c r="AV189" s="12"/>
      <c r="AW189" s="12"/>
    </row>
    <row r="190" spans="36:49">
      <c r="AJ190" s="12"/>
      <c r="AK190" s="12"/>
      <c r="AL190" s="12"/>
      <c r="AM190" s="12"/>
      <c r="AN190" s="12"/>
      <c r="AO190" s="12"/>
      <c r="AP190" s="12"/>
      <c r="AQ190" s="12"/>
      <c r="AR190" s="12"/>
      <c r="AS190" s="12"/>
      <c r="AT190" s="12"/>
      <c r="AU190" s="12"/>
      <c r="AV190" s="12"/>
      <c r="AW190" s="12"/>
    </row>
    <row r="191" spans="36:49">
      <c r="AJ191" s="12"/>
      <c r="AK191" s="12"/>
      <c r="AL191" s="12"/>
      <c r="AM191" s="12"/>
      <c r="AN191" s="12"/>
      <c r="AO191" s="12"/>
      <c r="AP191" s="12"/>
      <c r="AQ191" s="12"/>
      <c r="AR191" s="12"/>
      <c r="AS191" s="12"/>
      <c r="AT191" s="12"/>
      <c r="AU191" s="12"/>
      <c r="AV191" s="12"/>
      <c r="AW191" s="12"/>
    </row>
    <row r="192" spans="36:49">
      <c r="AJ192" s="12"/>
      <c r="AK192" s="12"/>
      <c r="AL192" s="12"/>
      <c r="AM192" s="12"/>
      <c r="AN192" s="12"/>
      <c r="AO192" s="12"/>
      <c r="AP192" s="12"/>
      <c r="AQ192" s="12"/>
      <c r="AR192" s="12"/>
      <c r="AS192" s="12"/>
      <c r="AT192" s="12"/>
      <c r="AU192" s="12"/>
      <c r="AV192" s="12"/>
      <c r="AW192" s="12"/>
    </row>
    <row r="193" spans="36:49">
      <c r="AJ193" s="12"/>
      <c r="AK193" s="12"/>
      <c r="AL193" s="12"/>
      <c r="AM193" s="12"/>
      <c r="AN193" s="12"/>
      <c r="AO193" s="12"/>
      <c r="AP193" s="12"/>
      <c r="AQ193" s="12"/>
      <c r="AR193" s="12"/>
      <c r="AS193" s="12"/>
      <c r="AT193" s="12"/>
      <c r="AU193" s="12"/>
      <c r="AV193" s="12"/>
      <c r="AW193" s="12"/>
    </row>
    <row r="194" spans="36:49">
      <c r="AJ194" s="12"/>
      <c r="AK194" s="12"/>
      <c r="AL194" s="12"/>
      <c r="AM194" s="12"/>
      <c r="AN194" s="12"/>
      <c r="AO194" s="12"/>
      <c r="AP194" s="12"/>
      <c r="AQ194" s="12"/>
      <c r="AR194" s="12"/>
      <c r="AS194" s="12"/>
      <c r="AT194" s="12"/>
      <c r="AU194" s="12"/>
      <c r="AV194" s="12"/>
      <c r="AW194" s="12"/>
    </row>
    <row r="195" spans="36:49">
      <c r="AJ195" s="12"/>
      <c r="AK195" s="12"/>
      <c r="AL195" s="12"/>
      <c r="AM195" s="12"/>
      <c r="AN195" s="12"/>
      <c r="AO195" s="12"/>
      <c r="AP195" s="12"/>
      <c r="AQ195" s="12"/>
      <c r="AR195" s="12"/>
      <c r="AS195" s="12"/>
      <c r="AT195" s="12"/>
      <c r="AU195" s="12"/>
      <c r="AV195" s="12"/>
      <c r="AW195" s="12"/>
    </row>
    <row r="196" spans="36:49">
      <c r="AJ196" s="12"/>
      <c r="AK196" s="12"/>
      <c r="AL196" s="12"/>
      <c r="AM196" s="12"/>
      <c r="AN196" s="12"/>
      <c r="AO196" s="12"/>
      <c r="AP196" s="12"/>
      <c r="AQ196" s="12"/>
      <c r="AR196" s="12"/>
      <c r="AS196" s="12"/>
      <c r="AT196" s="12"/>
      <c r="AU196" s="12"/>
      <c r="AV196" s="12"/>
      <c r="AW196" s="12"/>
    </row>
    <row r="197" spans="36:49">
      <c r="AJ197" s="12"/>
      <c r="AK197" s="12"/>
      <c r="AL197" s="12"/>
      <c r="AM197" s="12"/>
      <c r="AN197" s="12"/>
      <c r="AO197" s="12"/>
      <c r="AP197" s="12"/>
      <c r="AQ197" s="12"/>
      <c r="AR197" s="12"/>
      <c r="AS197" s="12"/>
      <c r="AT197" s="12"/>
      <c r="AU197" s="12"/>
      <c r="AV197" s="12"/>
      <c r="AW197" s="12"/>
    </row>
    <row r="198" spans="36:49">
      <c r="AJ198" s="12"/>
      <c r="AK198" s="12"/>
      <c r="AL198" s="12"/>
      <c r="AM198" s="12"/>
      <c r="AN198" s="12"/>
      <c r="AO198" s="12"/>
      <c r="AP198" s="12"/>
      <c r="AQ198" s="12"/>
      <c r="AR198" s="12"/>
      <c r="AS198" s="12"/>
      <c r="AT198" s="12"/>
      <c r="AU198" s="12"/>
      <c r="AV198" s="12"/>
      <c r="AW198" s="12"/>
    </row>
    <row r="199" spans="36:49">
      <c r="AJ199" s="12"/>
      <c r="AK199" s="12"/>
      <c r="AL199" s="12"/>
      <c r="AM199" s="12"/>
      <c r="AN199" s="12"/>
      <c r="AO199" s="12"/>
      <c r="AP199" s="12"/>
      <c r="AQ199" s="12"/>
      <c r="AR199" s="12"/>
      <c r="AS199" s="12"/>
      <c r="AT199" s="12"/>
      <c r="AU199" s="12"/>
      <c r="AV199" s="12"/>
      <c r="AW199" s="12"/>
    </row>
    <row r="200" spans="36:49">
      <c r="AJ200" s="12"/>
      <c r="AK200" s="12"/>
      <c r="AL200" s="12"/>
      <c r="AM200" s="12"/>
      <c r="AN200" s="12"/>
      <c r="AO200" s="12"/>
      <c r="AP200" s="12"/>
      <c r="AQ200" s="12"/>
      <c r="AR200" s="12"/>
      <c r="AS200" s="12"/>
      <c r="AT200" s="12"/>
      <c r="AU200" s="12"/>
      <c r="AV200" s="12"/>
      <c r="AW200" s="12"/>
    </row>
    <row r="201" spans="36:49">
      <c r="AJ201" s="12"/>
      <c r="AK201" s="12"/>
      <c r="AL201" s="12"/>
      <c r="AM201" s="12"/>
      <c r="AN201" s="12"/>
      <c r="AO201" s="12"/>
      <c r="AP201" s="12"/>
      <c r="AQ201" s="12"/>
      <c r="AR201" s="12"/>
      <c r="AS201" s="12"/>
      <c r="AT201" s="12"/>
      <c r="AU201" s="12"/>
      <c r="AV201" s="12"/>
      <c r="AW201" s="12"/>
    </row>
    <row r="202" spans="36:49">
      <c r="AJ202" s="12"/>
      <c r="AK202" s="12"/>
      <c r="AL202" s="12"/>
      <c r="AM202" s="12"/>
      <c r="AN202" s="12"/>
      <c r="AO202" s="12"/>
      <c r="AP202" s="12"/>
      <c r="AQ202" s="12"/>
      <c r="AR202" s="12"/>
      <c r="AS202" s="12"/>
      <c r="AT202" s="12"/>
      <c r="AU202" s="12"/>
      <c r="AV202" s="12"/>
      <c r="AW202" s="12"/>
    </row>
    <row r="203" spans="36:49">
      <c r="AJ203" s="12"/>
      <c r="AK203" s="12"/>
      <c r="AL203" s="12"/>
      <c r="AM203" s="12"/>
      <c r="AN203" s="12"/>
      <c r="AO203" s="12"/>
      <c r="AP203" s="12"/>
      <c r="AQ203" s="12"/>
      <c r="AR203" s="12"/>
      <c r="AS203" s="12"/>
      <c r="AT203" s="12"/>
      <c r="AU203" s="12"/>
      <c r="AV203" s="12"/>
      <c r="AW203" s="12"/>
    </row>
    <row r="204" spans="36:49">
      <c r="AJ204" s="12"/>
      <c r="AK204" s="12"/>
      <c r="AL204" s="12"/>
      <c r="AM204" s="12"/>
      <c r="AN204" s="12"/>
      <c r="AO204" s="12"/>
      <c r="AP204" s="12"/>
      <c r="AQ204" s="12"/>
      <c r="AR204" s="12"/>
      <c r="AS204" s="12"/>
      <c r="AT204" s="12"/>
      <c r="AU204" s="12"/>
      <c r="AV204" s="12"/>
      <c r="AW204" s="12"/>
    </row>
    <row r="205" spans="36:49">
      <c r="AJ205" s="12"/>
      <c r="AK205" s="12"/>
      <c r="AL205" s="12"/>
      <c r="AM205" s="12"/>
      <c r="AN205" s="12"/>
      <c r="AO205" s="12"/>
      <c r="AP205" s="12"/>
      <c r="AQ205" s="12"/>
      <c r="AR205" s="12"/>
      <c r="AS205" s="12"/>
      <c r="AT205" s="12"/>
      <c r="AU205" s="12"/>
      <c r="AV205" s="12"/>
      <c r="AW205" s="12"/>
    </row>
    <row r="206" spans="36:49">
      <c r="AJ206" s="12"/>
      <c r="AK206" s="12"/>
      <c r="AL206" s="12"/>
      <c r="AM206" s="12"/>
      <c r="AN206" s="12"/>
      <c r="AO206" s="12"/>
      <c r="AP206" s="12"/>
      <c r="AQ206" s="12"/>
      <c r="AR206" s="12"/>
      <c r="AS206" s="12"/>
      <c r="AT206" s="12"/>
      <c r="AU206" s="12"/>
      <c r="AV206" s="12"/>
      <c r="AW206" s="12"/>
    </row>
    <row r="207" spans="36:49">
      <c r="AJ207" s="12"/>
      <c r="AK207" s="12"/>
      <c r="AL207" s="12"/>
      <c r="AM207" s="12"/>
      <c r="AN207" s="12"/>
      <c r="AO207" s="12"/>
      <c r="AP207" s="12"/>
      <c r="AQ207" s="12"/>
      <c r="AR207" s="12"/>
      <c r="AS207" s="12"/>
      <c r="AT207" s="12"/>
      <c r="AU207" s="12"/>
      <c r="AV207" s="12"/>
      <c r="AW207" s="12"/>
    </row>
    <row r="208" spans="36:49">
      <c r="AJ208" s="12"/>
      <c r="AK208" s="12"/>
      <c r="AL208" s="12"/>
      <c r="AM208" s="12"/>
      <c r="AN208" s="12"/>
      <c r="AO208" s="12"/>
      <c r="AP208" s="12"/>
      <c r="AQ208" s="12"/>
      <c r="AR208" s="12"/>
      <c r="AS208" s="12"/>
      <c r="AT208" s="12"/>
      <c r="AU208" s="12"/>
      <c r="AV208" s="12"/>
      <c r="AW208" s="12"/>
    </row>
    <row r="209" spans="36:49">
      <c r="AJ209" s="12"/>
      <c r="AK209" s="12"/>
      <c r="AL209" s="12"/>
      <c r="AM209" s="12"/>
      <c r="AN209" s="12"/>
      <c r="AO209" s="12"/>
      <c r="AP209" s="12"/>
      <c r="AQ209" s="12"/>
      <c r="AR209" s="12"/>
      <c r="AS209" s="12"/>
      <c r="AT209" s="12"/>
      <c r="AU209" s="12"/>
      <c r="AV209" s="12"/>
      <c r="AW209" s="12"/>
    </row>
    <row r="210" spans="36:49">
      <c r="AJ210" s="12"/>
      <c r="AK210" s="12"/>
      <c r="AL210" s="12"/>
      <c r="AM210" s="12"/>
      <c r="AN210" s="12"/>
      <c r="AO210" s="12"/>
      <c r="AP210" s="12"/>
      <c r="AQ210" s="12"/>
      <c r="AR210" s="12"/>
      <c r="AS210" s="12"/>
      <c r="AT210" s="12"/>
      <c r="AU210" s="12"/>
      <c r="AV210" s="12"/>
      <c r="AW210" s="12"/>
    </row>
    <row r="211" spans="36:49">
      <c r="AJ211" s="12"/>
      <c r="AK211" s="12"/>
      <c r="AL211" s="12"/>
      <c r="AM211" s="12"/>
      <c r="AN211" s="12"/>
      <c r="AO211" s="12"/>
      <c r="AP211" s="12"/>
      <c r="AQ211" s="12"/>
      <c r="AR211" s="12"/>
      <c r="AS211" s="12"/>
      <c r="AT211" s="12"/>
      <c r="AU211" s="12"/>
      <c r="AV211" s="12"/>
      <c r="AW211" s="12"/>
    </row>
    <row r="212" spans="36:49">
      <c r="AJ212" s="12"/>
      <c r="AK212" s="12"/>
      <c r="AL212" s="12"/>
      <c r="AM212" s="12"/>
      <c r="AN212" s="12"/>
      <c r="AO212" s="12"/>
      <c r="AP212" s="12"/>
      <c r="AQ212" s="12"/>
      <c r="AR212" s="12"/>
      <c r="AS212" s="12"/>
      <c r="AT212" s="12"/>
      <c r="AU212" s="12"/>
      <c r="AV212" s="12"/>
      <c r="AW212" s="12"/>
    </row>
    <row r="213" spans="36:49">
      <c r="AJ213" s="12"/>
      <c r="AK213" s="12"/>
      <c r="AL213" s="12"/>
      <c r="AM213" s="12"/>
      <c r="AN213" s="12"/>
      <c r="AO213" s="12"/>
      <c r="AP213" s="12"/>
      <c r="AQ213" s="12"/>
      <c r="AR213" s="12"/>
      <c r="AS213" s="12"/>
      <c r="AT213" s="12"/>
      <c r="AU213" s="12"/>
      <c r="AV213" s="12"/>
      <c r="AW213" s="12"/>
    </row>
    <row r="214" spans="36:49">
      <c r="AJ214" s="12"/>
      <c r="AK214" s="12"/>
      <c r="AL214" s="12"/>
      <c r="AM214" s="12"/>
      <c r="AN214" s="12"/>
      <c r="AO214" s="12"/>
      <c r="AP214" s="12"/>
      <c r="AQ214" s="12"/>
      <c r="AR214" s="12"/>
      <c r="AS214" s="12"/>
      <c r="AT214" s="12"/>
      <c r="AU214" s="12"/>
      <c r="AV214" s="12"/>
      <c r="AW214" s="12"/>
    </row>
    <row r="215" spans="36:49">
      <c r="AJ215" s="12"/>
      <c r="AK215" s="12"/>
      <c r="AL215" s="12"/>
      <c r="AM215" s="12"/>
      <c r="AN215" s="12"/>
      <c r="AO215" s="12"/>
      <c r="AP215" s="12"/>
      <c r="AQ215" s="12"/>
      <c r="AR215" s="12"/>
      <c r="AS215" s="12"/>
      <c r="AT215" s="12"/>
      <c r="AU215" s="12"/>
      <c r="AV215" s="12"/>
      <c r="AW215" s="12"/>
    </row>
    <row r="216" spans="36:49">
      <c r="AJ216" s="12"/>
      <c r="AK216" s="12"/>
      <c r="AL216" s="12"/>
      <c r="AM216" s="12"/>
      <c r="AN216" s="12"/>
      <c r="AO216" s="12"/>
      <c r="AP216" s="12"/>
      <c r="AQ216" s="12"/>
      <c r="AR216" s="12"/>
      <c r="AS216" s="12"/>
      <c r="AT216" s="12"/>
      <c r="AU216" s="12"/>
      <c r="AV216" s="12"/>
      <c r="AW216" s="12"/>
    </row>
    <row r="217" spans="36:49">
      <c r="AJ217" s="12"/>
      <c r="AK217" s="12"/>
      <c r="AL217" s="12"/>
      <c r="AM217" s="12"/>
      <c r="AN217" s="12"/>
      <c r="AO217" s="12"/>
      <c r="AP217" s="12"/>
      <c r="AQ217" s="12"/>
      <c r="AR217" s="12"/>
      <c r="AS217" s="12"/>
      <c r="AT217" s="12"/>
      <c r="AU217" s="12"/>
      <c r="AV217" s="12"/>
      <c r="AW217" s="12"/>
    </row>
    <row r="218" spans="36:49">
      <c r="AJ218" s="12"/>
      <c r="AK218" s="12"/>
      <c r="AL218" s="12"/>
      <c r="AM218" s="12"/>
      <c r="AN218" s="12"/>
      <c r="AO218" s="12"/>
      <c r="AP218" s="12"/>
      <c r="AQ218" s="12"/>
      <c r="AR218" s="12"/>
      <c r="AS218" s="12"/>
      <c r="AT218" s="12"/>
      <c r="AU218" s="12"/>
      <c r="AV218" s="12"/>
      <c r="AW218" s="12"/>
    </row>
    <row r="219" spans="36:49">
      <c r="AJ219" s="12"/>
      <c r="AK219" s="12"/>
      <c r="AL219" s="12"/>
      <c r="AM219" s="12"/>
      <c r="AN219" s="12"/>
      <c r="AO219" s="12"/>
      <c r="AP219" s="12"/>
      <c r="AQ219" s="12"/>
      <c r="AR219" s="12"/>
      <c r="AS219" s="12"/>
      <c r="AT219" s="12"/>
      <c r="AU219" s="12"/>
      <c r="AV219" s="12"/>
      <c r="AW219" s="12"/>
    </row>
    <row r="220" spans="36:49">
      <c r="AJ220" s="12"/>
      <c r="AK220" s="12"/>
      <c r="AL220" s="12"/>
      <c r="AM220" s="12"/>
      <c r="AN220" s="12"/>
      <c r="AO220" s="12"/>
      <c r="AP220" s="12"/>
      <c r="AQ220" s="12"/>
      <c r="AR220" s="12"/>
      <c r="AS220" s="12"/>
      <c r="AT220" s="12"/>
      <c r="AU220" s="12"/>
      <c r="AV220" s="12"/>
      <c r="AW220" s="12"/>
    </row>
    <row r="221" spans="36:49">
      <c r="AJ221" s="12"/>
      <c r="AK221" s="12"/>
      <c r="AL221" s="12"/>
      <c r="AM221" s="12"/>
      <c r="AN221" s="12"/>
      <c r="AO221" s="12"/>
      <c r="AP221" s="12"/>
      <c r="AQ221" s="12"/>
      <c r="AR221" s="12"/>
      <c r="AS221" s="12"/>
      <c r="AT221" s="12"/>
      <c r="AU221" s="12"/>
      <c r="AV221" s="12"/>
      <c r="AW221" s="12"/>
    </row>
    <row r="222" spans="36:49">
      <c r="AJ222" s="12"/>
      <c r="AK222" s="12"/>
      <c r="AL222" s="12"/>
      <c r="AM222" s="12"/>
      <c r="AN222" s="12"/>
      <c r="AO222" s="12"/>
      <c r="AP222" s="12"/>
      <c r="AQ222" s="12"/>
      <c r="AR222" s="12"/>
      <c r="AS222" s="12"/>
      <c r="AT222" s="12"/>
      <c r="AU222" s="12"/>
      <c r="AV222" s="12"/>
      <c r="AW222" s="12"/>
    </row>
    <row r="223" spans="36:49">
      <c r="AJ223" s="12"/>
      <c r="AK223" s="12"/>
      <c r="AL223" s="12"/>
      <c r="AM223" s="12"/>
      <c r="AN223" s="12"/>
      <c r="AO223" s="12"/>
      <c r="AP223" s="12"/>
      <c r="AQ223" s="12"/>
      <c r="AR223" s="12"/>
      <c r="AS223" s="12"/>
      <c r="AT223" s="12"/>
      <c r="AU223" s="12"/>
      <c r="AV223" s="12"/>
      <c r="AW223" s="12"/>
    </row>
    <row r="224" spans="36:49">
      <c r="AJ224" s="12"/>
      <c r="AK224" s="12"/>
      <c r="AL224" s="12"/>
      <c r="AM224" s="12"/>
      <c r="AN224" s="12"/>
      <c r="AO224" s="12"/>
      <c r="AP224" s="12"/>
      <c r="AQ224" s="12"/>
      <c r="AR224" s="12"/>
      <c r="AS224" s="12"/>
      <c r="AT224" s="12"/>
      <c r="AU224" s="12"/>
      <c r="AV224" s="12"/>
      <c r="AW224" s="12"/>
    </row>
    <row r="225" spans="36:49">
      <c r="AJ225" s="12"/>
      <c r="AK225" s="12"/>
      <c r="AL225" s="12"/>
      <c r="AM225" s="12"/>
      <c r="AN225" s="12"/>
      <c r="AO225" s="12"/>
      <c r="AP225" s="12"/>
      <c r="AQ225" s="12"/>
      <c r="AR225" s="12"/>
      <c r="AS225" s="12"/>
      <c r="AT225" s="12"/>
      <c r="AU225" s="12"/>
      <c r="AV225" s="12"/>
      <c r="AW225" s="12"/>
    </row>
    <row r="226" spans="36:49">
      <c r="AJ226" s="12"/>
      <c r="AK226" s="12"/>
      <c r="AL226" s="12"/>
      <c r="AM226" s="12"/>
      <c r="AN226" s="12"/>
      <c r="AO226" s="12"/>
      <c r="AP226" s="12"/>
      <c r="AQ226" s="12"/>
      <c r="AR226" s="12"/>
      <c r="AS226" s="12"/>
      <c r="AT226" s="12"/>
      <c r="AU226" s="12"/>
      <c r="AV226" s="12"/>
      <c r="AW226" s="12"/>
    </row>
    <row r="227" spans="36:49">
      <c r="AJ227" s="12"/>
      <c r="AK227" s="12"/>
      <c r="AL227" s="12"/>
      <c r="AM227" s="12"/>
      <c r="AN227" s="12"/>
      <c r="AO227" s="12"/>
      <c r="AP227" s="12"/>
      <c r="AQ227" s="12"/>
      <c r="AR227" s="12"/>
      <c r="AS227" s="12"/>
      <c r="AT227" s="12"/>
      <c r="AU227" s="12"/>
      <c r="AV227" s="12"/>
      <c r="AW227" s="12"/>
    </row>
    <row r="228" spans="36:49">
      <c r="AJ228" s="12"/>
      <c r="AK228" s="12"/>
      <c r="AL228" s="12"/>
      <c r="AM228" s="12"/>
      <c r="AN228" s="12"/>
      <c r="AO228" s="12"/>
      <c r="AP228" s="12"/>
      <c r="AQ228" s="12"/>
      <c r="AR228" s="12"/>
      <c r="AS228" s="12"/>
      <c r="AT228" s="12"/>
      <c r="AU228" s="12"/>
      <c r="AV228" s="12"/>
      <c r="AW228" s="12"/>
    </row>
    <row r="229" spans="36:49">
      <c r="AJ229" s="12"/>
      <c r="AK229" s="12"/>
      <c r="AL229" s="12"/>
      <c r="AM229" s="12"/>
      <c r="AN229" s="12"/>
      <c r="AO229" s="12"/>
      <c r="AP229" s="12"/>
      <c r="AQ229" s="12"/>
      <c r="AR229" s="12"/>
      <c r="AS229" s="12"/>
      <c r="AT229" s="12"/>
      <c r="AU229" s="12"/>
      <c r="AV229" s="12"/>
      <c r="AW229" s="12"/>
    </row>
    <row r="230" spans="36:49">
      <c r="AJ230" s="12"/>
      <c r="AK230" s="12"/>
      <c r="AL230" s="12"/>
      <c r="AM230" s="12"/>
      <c r="AN230" s="12"/>
      <c r="AO230" s="12"/>
      <c r="AP230" s="12"/>
      <c r="AQ230" s="12"/>
      <c r="AR230" s="12"/>
      <c r="AS230" s="12"/>
      <c r="AT230" s="12"/>
      <c r="AU230" s="12"/>
      <c r="AV230" s="12"/>
      <c r="AW230" s="12"/>
    </row>
    <row r="231" spans="36:49">
      <c r="AJ231" s="12"/>
      <c r="AK231" s="12"/>
      <c r="AL231" s="12"/>
      <c r="AM231" s="12"/>
      <c r="AN231" s="12"/>
      <c r="AO231" s="12"/>
      <c r="AP231" s="12"/>
      <c r="AQ231" s="12"/>
      <c r="AR231" s="12"/>
      <c r="AS231" s="12"/>
      <c r="AT231" s="12"/>
      <c r="AU231" s="12"/>
      <c r="AV231" s="12"/>
      <c r="AW231" s="12"/>
    </row>
    <row r="232" spans="36:49">
      <c r="AJ232" s="12"/>
      <c r="AK232" s="12"/>
      <c r="AL232" s="12"/>
      <c r="AM232" s="12"/>
      <c r="AN232" s="12"/>
      <c r="AO232" s="12"/>
      <c r="AP232" s="12"/>
      <c r="AQ232" s="12"/>
      <c r="AR232" s="12"/>
      <c r="AS232" s="12"/>
      <c r="AT232" s="12"/>
      <c r="AU232" s="12"/>
      <c r="AV232" s="12"/>
      <c r="AW232" s="12"/>
    </row>
    <row r="233" spans="36:49">
      <c r="AJ233" s="12"/>
      <c r="AK233" s="12"/>
      <c r="AL233" s="12"/>
      <c r="AM233" s="12"/>
      <c r="AN233" s="12"/>
      <c r="AO233" s="12"/>
      <c r="AP233" s="12"/>
      <c r="AQ233" s="12"/>
      <c r="AR233" s="12"/>
      <c r="AS233" s="12"/>
      <c r="AT233" s="12"/>
      <c r="AU233" s="12"/>
      <c r="AV233" s="12"/>
      <c r="AW233" s="12"/>
    </row>
    <row r="234" spans="36:49">
      <c r="AJ234" s="12"/>
      <c r="AK234" s="12"/>
      <c r="AL234" s="12"/>
      <c r="AM234" s="12"/>
      <c r="AN234" s="12"/>
      <c r="AO234" s="12"/>
      <c r="AP234" s="12"/>
      <c r="AQ234" s="12"/>
      <c r="AR234" s="12"/>
      <c r="AS234" s="12"/>
      <c r="AT234" s="12"/>
      <c r="AU234" s="12"/>
      <c r="AV234" s="12"/>
      <c r="AW234" s="12"/>
    </row>
    <row r="235" spans="36:49">
      <c r="AJ235" s="12"/>
      <c r="AK235" s="12"/>
      <c r="AL235" s="12"/>
      <c r="AM235" s="12"/>
      <c r="AN235" s="12"/>
      <c r="AO235" s="12"/>
      <c r="AP235" s="12"/>
      <c r="AQ235" s="12"/>
      <c r="AR235" s="12"/>
      <c r="AS235" s="12"/>
      <c r="AT235" s="12"/>
      <c r="AU235" s="12"/>
      <c r="AV235" s="12"/>
      <c r="AW235" s="12"/>
    </row>
    <row r="236" spans="36:49">
      <c r="AJ236" s="12"/>
      <c r="AK236" s="12"/>
      <c r="AL236" s="12"/>
      <c r="AM236" s="12"/>
      <c r="AN236" s="12"/>
      <c r="AO236" s="12"/>
      <c r="AP236" s="12"/>
      <c r="AQ236" s="12"/>
      <c r="AR236" s="12"/>
      <c r="AS236" s="12"/>
      <c r="AT236" s="12"/>
      <c r="AU236" s="12"/>
      <c r="AV236" s="12"/>
      <c r="AW236" s="12"/>
    </row>
    <row r="237" spans="36:49">
      <c r="AJ237" s="12"/>
      <c r="AK237" s="12"/>
      <c r="AL237" s="12"/>
      <c r="AM237" s="12"/>
      <c r="AN237" s="12"/>
      <c r="AO237" s="12"/>
      <c r="AP237" s="12"/>
      <c r="AQ237" s="12"/>
      <c r="AR237" s="12"/>
      <c r="AS237" s="12"/>
      <c r="AT237" s="12"/>
      <c r="AU237" s="12"/>
      <c r="AV237" s="12"/>
      <c r="AW237" s="12"/>
    </row>
    <row r="238" spans="36:49">
      <c r="AJ238" s="12"/>
      <c r="AK238" s="12"/>
      <c r="AL238" s="12"/>
      <c r="AM238" s="12"/>
      <c r="AN238" s="12"/>
      <c r="AO238" s="12"/>
      <c r="AP238" s="12"/>
      <c r="AQ238" s="12"/>
      <c r="AR238" s="12"/>
      <c r="AS238" s="12"/>
      <c r="AT238" s="12"/>
      <c r="AU238" s="12"/>
      <c r="AV238" s="12"/>
      <c r="AW238" s="12"/>
    </row>
    <row r="239" spans="36:49">
      <c r="AJ239" s="12"/>
      <c r="AK239" s="12"/>
      <c r="AL239" s="12"/>
      <c r="AM239" s="12"/>
      <c r="AN239" s="12"/>
      <c r="AO239" s="12"/>
      <c r="AP239" s="12"/>
      <c r="AQ239" s="12"/>
      <c r="AR239" s="12"/>
      <c r="AS239" s="12"/>
      <c r="AT239" s="12"/>
      <c r="AU239" s="12"/>
      <c r="AV239" s="12"/>
      <c r="AW239" s="12"/>
    </row>
    <row r="240" spans="36:49">
      <c r="AJ240" s="12"/>
      <c r="AK240" s="12"/>
      <c r="AL240" s="12"/>
      <c r="AM240" s="12"/>
      <c r="AN240" s="12"/>
      <c r="AO240" s="12"/>
      <c r="AP240" s="12"/>
      <c r="AQ240" s="12"/>
      <c r="AR240" s="12"/>
      <c r="AS240" s="12"/>
      <c r="AT240" s="12"/>
      <c r="AU240" s="12"/>
      <c r="AV240" s="12"/>
      <c r="AW240" s="12"/>
    </row>
    <row r="241" spans="36:49">
      <c r="AJ241" s="12"/>
      <c r="AK241" s="12"/>
      <c r="AL241" s="12"/>
      <c r="AM241" s="12"/>
      <c r="AN241" s="12"/>
      <c r="AO241" s="12"/>
      <c r="AP241" s="12"/>
      <c r="AQ241" s="12"/>
      <c r="AR241" s="12"/>
      <c r="AS241" s="12"/>
      <c r="AT241" s="12"/>
      <c r="AU241" s="12"/>
      <c r="AV241" s="12"/>
      <c r="AW241" s="12"/>
    </row>
    <row r="242" spans="36:49">
      <c r="AJ242" s="12"/>
      <c r="AK242" s="12"/>
      <c r="AL242" s="12"/>
      <c r="AM242" s="12"/>
      <c r="AN242" s="12"/>
      <c r="AO242" s="12"/>
      <c r="AP242" s="12"/>
      <c r="AQ242" s="12"/>
      <c r="AR242" s="12"/>
      <c r="AS242" s="12"/>
      <c r="AT242" s="12"/>
      <c r="AU242" s="12"/>
      <c r="AV242" s="12"/>
      <c r="AW242" s="12"/>
    </row>
    <row r="243" spans="36:49">
      <c r="AJ243" s="12"/>
      <c r="AK243" s="12"/>
      <c r="AL243" s="12"/>
      <c r="AM243" s="12"/>
      <c r="AN243" s="12"/>
      <c r="AO243" s="12"/>
      <c r="AP243" s="12"/>
      <c r="AQ243" s="12"/>
      <c r="AR243" s="12"/>
      <c r="AS243" s="12"/>
      <c r="AT243" s="12"/>
      <c r="AU243" s="12"/>
      <c r="AV243" s="12"/>
      <c r="AW243" s="12"/>
    </row>
    <row r="244" spans="36:49">
      <c r="AJ244" s="12"/>
      <c r="AK244" s="12"/>
      <c r="AL244" s="12"/>
      <c r="AM244" s="12"/>
      <c r="AN244" s="12"/>
      <c r="AO244" s="12"/>
      <c r="AP244" s="12"/>
      <c r="AQ244" s="12"/>
      <c r="AR244" s="12"/>
      <c r="AS244" s="12"/>
      <c r="AT244" s="12"/>
      <c r="AU244" s="12"/>
      <c r="AV244" s="12"/>
      <c r="AW244" s="12"/>
    </row>
    <row r="245" spans="36:49">
      <c r="AJ245" s="12"/>
      <c r="AK245" s="12"/>
      <c r="AL245" s="12"/>
      <c r="AM245" s="12"/>
      <c r="AN245" s="12"/>
      <c r="AO245" s="12"/>
      <c r="AP245" s="12"/>
      <c r="AQ245" s="12"/>
      <c r="AR245" s="12"/>
      <c r="AS245" s="12"/>
      <c r="AT245" s="12"/>
      <c r="AU245" s="12"/>
      <c r="AV245" s="12"/>
      <c r="AW245" s="12"/>
    </row>
    <row r="246" spans="36:49">
      <c r="AJ246" s="12"/>
      <c r="AK246" s="12"/>
      <c r="AL246" s="12"/>
      <c r="AM246" s="12"/>
      <c r="AN246" s="12"/>
      <c r="AO246" s="12"/>
      <c r="AP246" s="12"/>
      <c r="AQ246" s="12"/>
      <c r="AR246" s="12"/>
      <c r="AS246" s="12"/>
      <c r="AT246" s="12"/>
      <c r="AU246" s="12"/>
      <c r="AV246" s="12"/>
      <c r="AW246" s="12"/>
    </row>
    <row r="247" spans="36:49">
      <c r="AJ247" s="12"/>
      <c r="AK247" s="12"/>
      <c r="AL247" s="12"/>
      <c r="AM247" s="12"/>
      <c r="AN247" s="12"/>
      <c r="AO247" s="12"/>
      <c r="AP247" s="12"/>
      <c r="AQ247" s="12"/>
      <c r="AR247" s="12"/>
      <c r="AS247" s="12"/>
      <c r="AT247" s="12"/>
      <c r="AU247" s="12"/>
      <c r="AV247" s="12"/>
      <c r="AW247" s="12"/>
    </row>
    <row r="248" spans="36:49">
      <c r="AJ248" s="12"/>
      <c r="AK248" s="12"/>
      <c r="AL248" s="12"/>
      <c r="AM248" s="12"/>
      <c r="AN248" s="12"/>
      <c r="AO248" s="12"/>
      <c r="AP248" s="12"/>
      <c r="AQ248" s="12"/>
      <c r="AR248" s="12"/>
      <c r="AS248" s="12"/>
      <c r="AT248" s="12"/>
      <c r="AU248" s="12"/>
      <c r="AV248" s="12"/>
      <c r="AW248" s="12"/>
    </row>
    <row r="249" spans="36:49">
      <c r="AJ249" s="12"/>
      <c r="AK249" s="12"/>
      <c r="AL249" s="12"/>
      <c r="AM249" s="12"/>
      <c r="AN249" s="12"/>
      <c r="AO249" s="12"/>
      <c r="AP249" s="12"/>
      <c r="AQ249" s="12"/>
      <c r="AR249" s="12"/>
      <c r="AS249" s="12"/>
      <c r="AT249" s="12"/>
      <c r="AU249" s="12"/>
      <c r="AV249" s="12"/>
      <c r="AW249" s="12"/>
    </row>
    <row r="250" spans="36:49">
      <c r="AJ250" s="12"/>
      <c r="AK250" s="12"/>
      <c r="AL250" s="12"/>
      <c r="AM250" s="12"/>
      <c r="AN250" s="12"/>
      <c r="AO250" s="12"/>
      <c r="AP250" s="12"/>
      <c r="AQ250" s="12"/>
      <c r="AR250" s="12"/>
      <c r="AS250" s="12"/>
      <c r="AT250" s="12"/>
      <c r="AU250" s="12"/>
      <c r="AV250" s="12"/>
      <c r="AW250" s="12"/>
    </row>
    <row r="251" spans="36:49">
      <c r="AJ251" s="12"/>
      <c r="AK251" s="12"/>
      <c r="AL251" s="12"/>
      <c r="AM251" s="12"/>
      <c r="AN251" s="12"/>
      <c r="AO251" s="12"/>
      <c r="AP251" s="12"/>
      <c r="AQ251" s="12"/>
      <c r="AR251" s="12"/>
      <c r="AS251" s="12"/>
      <c r="AT251" s="12"/>
      <c r="AU251" s="12"/>
      <c r="AV251" s="12"/>
      <c r="AW251" s="12"/>
    </row>
    <row r="252" spans="36:49">
      <c r="AJ252" s="12"/>
      <c r="AK252" s="12"/>
      <c r="AL252" s="12"/>
      <c r="AM252" s="12"/>
      <c r="AN252" s="12"/>
      <c r="AO252" s="12"/>
      <c r="AP252" s="12"/>
      <c r="AQ252" s="12"/>
      <c r="AR252" s="12"/>
      <c r="AS252" s="12"/>
      <c r="AT252" s="12"/>
      <c r="AU252" s="12"/>
      <c r="AV252" s="12"/>
      <c r="AW252" s="12"/>
    </row>
    <row r="253" spans="36:49">
      <c r="AJ253" s="12"/>
      <c r="AK253" s="12"/>
      <c r="AL253" s="12"/>
      <c r="AM253" s="12"/>
      <c r="AN253" s="12"/>
      <c r="AO253" s="12"/>
      <c r="AP253" s="12"/>
      <c r="AQ253" s="12"/>
      <c r="AR253" s="12"/>
      <c r="AS253" s="12"/>
      <c r="AT253" s="12"/>
      <c r="AU253" s="12"/>
      <c r="AV253" s="12"/>
      <c r="AW253" s="12"/>
    </row>
    <row r="254" spans="36:49">
      <c r="AJ254" s="12"/>
      <c r="AK254" s="12"/>
      <c r="AL254" s="12"/>
      <c r="AM254" s="12"/>
      <c r="AN254" s="12"/>
      <c r="AO254" s="12"/>
      <c r="AP254" s="12"/>
      <c r="AQ254" s="12"/>
      <c r="AR254" s="12"/>
      <c r="AS254" s="12"/>
      <c r="AT254" s="12"/>
      <c r="AU254" s="12"/>
      <c r="AV254" s="12"/>
      <c r="AW254" s="12"/>
    </row>
    <row r="255" spans="36:49">
      <c r="AJ255" s="12"/>
      <c r="AK255" s="12"/>
      <c r="AL255" s="12"/>
      <c r="AM255" s="12"/>
      <c r="AN255" s="12"/>
      <c r="AO255" s="12"/>
      <c r="AP255" s="12"/>
      <c r="AQ255" s="12"/>
      <c r="AR255" s="12"/>
      <c r="AS255" s="12"/>
      <c r="AT255" s="12"/>
      <c r="AU255" s="12"/>
      <c r="AV255" s="12"/>
      <c r="AW255" s="12"/>
    </row>
    <row r="256" spans="36:49">
      <c r="AJ256" s="12"/>
      <c r="AK256" s="12"/>
      <c r="AL256" s="12"/>
      <c r="AM256" s="12"/>
      <c r="AN256" s="12"/>
      <c r="AO256" s="12"/>
      <c r="AP256" s="12"/>
      <c r="AQ256" s="12"/>
      <c r="AR256" s="12"/>
      <c r="AS256" s="12"/>
      <c r="AT256" s="12"/>
      <c r="AU256" s="12"/>
      <c r="AV256" s="12"/>
      <c r="AW256" s="12"/>
    </row>
    <row r="257" spans="36:49">
      <c r="AJ257" s="12"/>
      <c r="AK257" s="12"/>
      <c r="AL257" s="12"/>
      <c r="AM257" s="12"/>
      <c r="AN257" s="12"/>
      <c r="AO257" s="12"/>
      <c r="AP257" s="12"/>
      <c r="AQ257" s="12"/>
      <c r="AR257" s="12"/>
      <c r="AS257" s="12"/>
      <c r="AT257" s="12"/>
      <c r="AU257" s="12"/>
      <c r="AV257" s="12"/>
      <c r="AW257" s="12"/>
    </row>
    <row r="258" spans="36:49">
      <c r="AJ258" s="12"/>
      <c r="AK258" s="12"/>
      <c r="AL258" s="12"/>
      <c r="AM258" s="12"/>
      <c r="AN258" s="12"/>
      <c r="AO258" s="12"/>
      <c r="AP258" s="12"/>
      <c r="AQ258" s="12"/>
      <c r="AR258" s="12"/>
      <c r="AS258" s="12"/>
      <c r="AT258" s="12"/>
      <c r="AU258" s="12"/>
      <c r="AV258" s="12"/>
      <c r="AW258" s="12"/>
    </row>
    <row r="259" spans="36:49">
      <c r="AJ259" s="12"/>
      <c r="AK259" s="12"/>
      <c r="AL259" s="12"/>
      <c r="AM259" s="12"/>
      <c r="AN259" s="12"/>
      <c r="AO259" s="12"/>
      <c r="AP259" s="12"/>
      <c r="AQ259" s="12"/>
      <c r="AR259" s="12"/>
      <c r="AS259" s="12"/>
      <c r="AT259" s="12"/>
      <c r="AU259" s="12"/>
      <c r="AV259" s="12"/>
      <c r="AW259" s="12"/>
    </row>
    <row r="260" spans="36:49">
      <c r="AJ260" s="12"/>
      <c r="AK260" s="12"/>
      <c r="AL260" s="12"/>
      <c r="AM260" s="12"/>
      <c r="AN260" s="12"/>
      <c r="AO260" s="12"/>
      <c r="AP260" s="12"/>
      <c r="AQ260" s="12"/>
      <c r="AR260" s="12"/>
      <c r="AS260" s="12"/>
      <c r="AT260" s="12"/>
      <c r="AU260" s="12"/>
      <c r="AV260" s="12"/>
      <c r="AW260" s="12"/>
    </row>
    <row r="261" spans="36:49">
      <c r="AJ261" s="12"/>
      <c r="AK261" s="12"/>
      <c r="AL261" s="12"/>
      <c r="AM261" s="12"/>
      <c r="AN261" s="12"/>
      <c r="AO261" s="12"/>
      <c r="AP261" s="12"/>
      <c r="AQ261" s="12"/>
      <c r="AR261" s="12"/>
      <c r="AS261" s="12"/>
      <c r="AT261" s="12"/>
      <c r="AU261" s="12"/>
      <c r="AV261" s="12"/>
      <c r="AW261" s="12"/>
    </row>
    <row r="262" spans="36:49">
      <c r="AJ262" s="12"/>
      <c r="AK262" s="12"/>
      <c r="AL262" s="12"/>
      <c r="AM262" s="12"/>
      <c r="AN262" s="12"/>
      <c r="AO262" s="12"/>
      <c r="AP262" s="12"/>
      <c r="AQ262" s="12"/>
      <c r="AR262" s="12"/>
      <c r="AS262" s="12"/>
      <c r="AT262" s="12"/>
      <c r="AU262" s="12"/>
      <c r="AV262" s="12"/>
      <c r="AW262" s="12"/>
    </row>
    <row r="263" spans="36:49">
      <c r="AJ263" s="12"/>
      <c r="AK263" s="12"/>
      <c r="AL263" s="12"/>
      <c r="AM263" s="12"/>
      <c r="AN263" s="12"/>
      <c r="AO263" s="12"/>
      <c r="AP263" s="12"/>
      <c r="AQ263" s="12"/>
      <c r="AR263" s="12"/>
      <c r="AS263" s="12"/>
      <c r="AT263" s="12"/>
      <c r="AU263" s="12"/>
      <c r="AV263" s="12"/>
      <c r="AW263" s="12"/>
    </row>
    <row r="264" spans="36:49">
      <c r="AJ264" s="12"/>
      <c r="AK264" s="12"/>
      <c r="AL264" s="12"/>
      <c r="AM264" s="12"/>
      <c r="AN264" s="12"/>
      <c r="AO264" s="12"/>
      <c r="AP264" s="12"/>
      <c r="AQ264" s="12"/>
      <c r="AR264" s="12"/>
      <c r="AS264" s="12"/>
      <c r="AT264" s="12"/>
      <c r="AU264" s="12"/>
      <c r="AV264" s="12"/>
      <c r="AW264" s="12"/>
    </row>
    <row r="265" spans="36:49">
      <c r="AJ265" s="12"/>
      <c r="AK265" s="12"/>
      <c r="AL265" s="12"/>
      <c r="AM265" s="12"/>
      <c r="AN265" s="12"/>
      <c r="AO265" s="12"/>
      <c r="AP265" s="12"/>
      <c r="AQ265" s="12"/>
      <c r="AR265" s="12"/>
      <c r="AS265" s="12"/>
      <c r="AT265" s="12"/>
      <c r="AU265" s="12"/>
      <c r="AV265" s="12"/>
      <c r="AW265" s="12"/>
    </row>
    <row r="266" spans="36:49">
      <c r="AJ266" s="12"/>
      <c r="AK266" s="12"/>
      <c r="AL266" s="12"/>
      <c r="AM266" s="12"/>
      <c r="AN266" s="12"/>
      <c r="AO266" s="12"/>
      <c r="AP266" s="12"/>
      <c r="AQ266" s="12"/>
      <c r="AR266" s="12"/>
      <c r="AS266" s="12"/>
      <c r="AT266" s="12"/>
      <c r="AU266" s="12"/>
      <c r="AV266" s="12"/>
      <c r="AW266" s="12"/>
    </row>
    <row r="267" spans="36:49">
      <c r="AJ267" s="12"/>
      <c r="AK267" s="12"/>
      <c r="AL267" s="12"/>
      <c r="AM267" s="12"/>
      <c r="AN267" s="12"/>
      <c r="AO267" s="12"/>
      <c r="AP267" s="12"/>
      <c r="AQ267" s="12"/>
      <c r="AR267" s="12"/>
      <c r="AS267" s="12"/>
      <c r="AT267" s="12"/>
      <c r="AU267" s="12"/>
      <c r="AV267" s="12"/>
      <c r="AW267" s="12"/>
    </row>
    <row r="268" spans="36:49">
      <c r="AJ268" s="12"/>
      <c r="AK268" s="12"/>
      <c r="AL268" s="12"/>
      <c r="AM268" s="12"/>
      <c r="AN268" s="12"/>
      <c r="AO268" s="12"/>
      <c r="AP268" s="12"/>
      <c r="AQ268" s="12"/>
      <c r="AR268" s="12"/>
      <c r="AS268" s="12"/>
      <c r="AT268" s="12"/>
      <c r="AU268" s="12"/>
      <c r="AV268" s="12"/>
      <c r="AW268" s="12"/>
    </row>
    <row r="269" spans="36:49">
      <c r="AJ269" s="12"/>
      <c r="AK269" s="12"/>
      <c r="AL269" s="12"/>
      <c r="AM269" s="12"/>
      <c r="AN269" s="12"/>
      <c r="AO269" s="12"/>
      <c r="AP269" s="12"/>
      <c r="AQ269" s="12"/>
      <c r="AR269" s="12"/>
      <c r="AS269" s="12"/>
      <c r="AT269" s="12"/>
      <c r="AU269" s="12"/>
      <c r="AV269" s="12"/>
      <c r="AW269" s="12"/>
    </row>
    <row r="270" spans="36:49">
      <c r="AJ270" s="12"/>
      <c r="AK270" s="12"/>
      <c r="AL270" s="12"/>
      <c r="AM270" s="12"/>
      <c r="AN270" s="12"/>
      <c r="AO270" s="12"/>
      <c r="AP270" s="12"/>
      <c r="AQ270" s="12"/>
      <c r="AR270" s="12"/>
      <c r="AS270" s="12"/>
      <c r="AT270" s="12"/>
      <c r="AU270" s="12"/>
      <c r="AV270" s="12"/>
      <c r="AW270" s="12"/>
    </row>
    <row r="271" spans="36:49">
      <c r="AJ271" s="12"/>
      <c r="AK271" s="12"/>
      <c r="AL271" s="12"/>
      <c r="AM271" s="12"/>
      <c r="AN271" s="12"/>
      <c r="AO271" s="12"/>
      <c r="AP271" s="12"/>
      <c r="AQ271" s="12"/>
      <c r="AR271" s="12"/>
      <c r="AS271" s="12"/>
      <c r="AT271" s="12"/>
      <c r="AU271" s="12"/>
      <c r="AV271" s="12"/>
      <c r="AW271" s="12"/>
    </row>
    <row r="272" spans="36:49">
      <c r="AJ272" s="12"/>
      <c r="AK272" s="12"/>
      <c r="AL272" s="12"/>
      <c r="AM272" s="12"/>
      <c r="AN272" s="12"/>
      <c r="AO272" s="12"/>
      <c r="AP272" s="12"/>
      <c r="AQ272" s="12"/>
      <c r="AR272" s="12"/>
      <c r="AS272" s="12"/>
      <c r="AT272" s="12"/>
      <c r="AU272" s="12"/>
      <c r="AV272" s="12"/>
      <c r="AW272" s="12"/>
    </row>
    <row r="273" spans="36:49">
      <c r="AJ273" s="12"/>
      <c r="AK273" s="12"/>
      <c r="AL273" s="12"/>
      <c r="AM273" s="12"/>
      <c r="AN273" s="12"/>
      <c r="AO273" s="12"/>
      <c r="AP273" s="12"/>
      <c r="AQ273" s="12"/>
      <c r="AR273" s="12"/>
      <c r="AS273" s="12"/>
      <c r="AT273" s="12"/>
      <c r="AU273" s="12"/>
      <c r="AV273" s="12"/>
      <c r="AW273" s="12"/>
    </row>
    <row r="274" spans="36:49">
      <c r="AJ274" s="12"/>
      <c r="AK274" s="12"/>
      <c r="AL274" s="12"/>
      <c r="AM274" s="12"/>
      <c r="AN274" s="12"/>
      <c r="AO274" s="12"/>
      <c r="AP274" s="12"/>
      <c r="AQ274" s="12"/>
      <c r="AR274" s="12"/>
      <c r="AS274" s="12"/>
      <c r="AT274" s="12"/>
      <c r="AU274" s="12"/>
      <c r="AV274" s="12"/>
      <c r="AW274" s="12"/>
    </row>
    <row r="275" spans="36:49">
      <c r="AJ275" s="12"/>
      <c r="AK275" s="12"/>
      <c r="AL275" s="12"/>
      <c r="AM275" s="12"/>
      <c r="AN275" s="12"/>
      <c r="AO275" s="12"/>
      <c r="AP275" s="12"/>
      <c r="AQ275" s="12"/>
      <c r="AR275" s="12"/>
      <c r="AS275" s="12"/>
      <c r="AT275" s="12"/>
      <c r="AU275" s="12"/>
      <c r="AV275" s="12"/>
      <c r="AW275" s="12"/>
    </row>
    <row r="276" spans="36:49">
      <c r="AJ276" s="12"/>
      <c r="AK276" s="12"/>
      <c r="AL276" s="12"/>
      <c r="AM276" s="12"/>
      <c r="AN276" s="12"/>
      <c r="AO276" s="12"/>
      <c r="AP276" s="12"/>
      <c r="AQ276" s="12"/>
      <c r="AR276" s="12"/>
      <c r="AS276" s="12"/>
      <c r="AT276" s="12"/>
      <c r="AU276" s="12"/>
      <c r="AV276" s="12"/>
      <c r="AW276" s="12"/>
    </row>
    <row r="277" spans="36:49">
      <c r="AJ277" s="12"/>
      <c r="AK277" s="12"/>
      <c r="AL277" s="12"/>
      <c r="AM277" s="12"/>
      <c r="AN277" s="12"/>
      <c r="AO277" s="12"/>
      <c r="AP277" s="12"/>
      <c r="AQ277" s="12"/>
      <c r="AR277" s="12"/>
      <c r="AS277" s="12"/>
      <c r="AT277" s="12"/>
      <c r="AU277" s="12"/>
      <c r="AV277" s="12"/>
      <c r="AW277" s="12"/>
    </row>
    <row r="278" spans="36:49">
      <c r="AJ278" s="12"/>
      <c r="AK278" s="12"/>
      <c r="AL278" s="12"/>
      <c r="AM278" s="12"/>
      <c r="AN278" s="12"/>
      <c r="AO278" s="12"/>
      <c r="AP278" s="12"/>
      <c r="AQ278" s="12"/>
      <c r="AR278" s="12"/>
      <c r="AS278" s="12"/>
      <c r="AT278" s="12"/>
      <c r="AU278" s="12"/>
      <c r="AV278" s="12"/>
      <c r="AW278" s="12"/>
    </row>
    <row r="279" spans="36:49">
      <c r="AJ279" s="12"/>
      <c r="AK279" s="12"/>
      <c r="AL279" s="12"/>
      <c r="AM279" s="12"/>
      <c r="AN279" s="12"/>
      <c r="AO279" s="12"/>
      <c r="AP279" s="12"/>
      <c r="AQ279" s="12"/>
      <c r="AR279" s="12"/>
      <c r="AS279" s="12"/>
      <c r="AT279" s="12"/>
      <c r="AU279" s="12"/>
      <c r="AV279" s="12"/>
      <c r="AW279" s="12"/>
    </row>
    <row r="280" spans="36:49">
      <c r="AJ280" s="12"/>
      <c r="AK280" s="12"/>
      <c r="AL280" s="12"/>
      <c r="AM280" s="12"/>
      <c r="AN280" s="12"/>
      <c r="AO280" s="12"/>
      <c r="AP280" s="12"/>
      <c r="AQ280" s="12"/>
      <c r="AR280" s="12"/>
      <c r="AS280" s="12"/>
      <c r="AT280" s="12"/>
      <c r="AU280" s="12"/>
      <c r="AV280" s="12"/>
      <c r="AW280" s="12"/>
    </row>
    <row r="281" spans="36:49">
      <c r="AJ281" s="12"/>
      <c r="AK281" s="12"/>
      <c r="AL281" s="12"/>
      <c r="AM281" s="12"/>
      <c r="AN281" s="12"/>
      <c r="AO281" s="12"/>
      <c r="AP281" s="12"/>
      <c r="AQ281" s="12"/>
      <c r="AR281" s="12"/>
      <c r="AS281" s="12"/>
      <c r="AT281" s="12"/>
      <c r="AU281" s="12"/>
      <c r="AV281" s="12"/>
      <c r="AW281" s="12"/>
    </row>
    <row r="282" spans="36:49">
      <c r="AJ282" s="12"/>
      <c r="AK282" s="12"/>
      <c r="AL282" s="12"/>
      <c r="AM282" s="12"/>
      <c r="AN282" s="12"/>
      <c r="AO282" s="12"/>
      <c r="AP282" s="12"/>
      <c r="AQ282" s="12"/>
      <c r="AR282" s="12"/>
      <c r="AS282" s="12"/>
      <c r="AT282" s="12"/>
      <c r="AU282" s="12"/>
      <c r="AV282" s="12"/>
      <c r="AW282" s="12"/>
    </row>
    <row r="283" spans="36:49">
      <c r="AJ283" s="12"/>
      <c r="AK283" s="12"/>
      <c r="AL283" s="12"/>
      <c r="AM283" s="12"/>
      <c r="AN283" s="12"/>
      <c r="AO283" s="12"/>
      <c r="AP283" s="12"/>
      <c r="AQ283" s="12"/>
      <c r="AR283" s="12"/>
      <c r="AS283" s="12"/>
      <c r="AT283" s="12"/>
      <c r="AU283" s="12"/>
      <c r="AV283" s="12"/>
      <c r="AW283" s="12"/>
    </row>
    <row r="284" spans="36:49">
      <c r="AJ284" s="12"/>
      <c r="AK284" s="12"/>
      <c r="AL284" s="12"/>
      <c r="AM284" s="12"/>
      <c r="AN284" s="12"/>
      <c r="AO284" s="12"/>
      <c r="AP284" s="12"/>
      <c r="AQ284" s="12"/>
      <c r="AR284" s="12"/>
      <c r="AS284" s="12"/>
      <c r="AT284" s="12"/>
      <c r="AU284" s="12"/>
      <c r="AV284" s="12"/>
      <c r="AW284" s="12"/>
    </row>
    <row r="285" spans="36:49">
      <c r="AJ285" s="12"/>
      <c r="AK285" s="12"/>
      <c r="AL285" s="12"/>
      <c r="AM285" s="12"/>
      <c r="AN285" s="12"/>
      <c r="AO285" s="12"/>
      <c r="AP285" s="12"/>
      <c r="AQ285" s="12"/>
      <c r="AR285" s="12"/>
      <c r="AS285" s="12"/>
      <c r="AT285" s="12"/>
      <c r="AU285" s="12"/>
      <c r="AV285" s="12"/>
      <c r="AW285" s="12"/>
    </row>
    <row r="286" spans="36:49">
      <c r="AJ286" s="12"/>
      <c r="AK286" s="12"/>
      <c r="AL286" s="12"/>
      <c r="AM286" s="12"/>
      <c r="AN286" s="12"/>
      <c r="AO286" s="12"/>
      <c r="AP286" s="12"/>
      <c r="AQ286" s="12"/>
      <c r="AR286" s="12"/>
      <c r="AS286" s="12"/>
      <c r="AT286" s="12"/>
      <c r="AU286" s="12"/>
      <c r="AV286" s="12"/>
      <c r="AW286" s="12"/>
    </row>
    <row r="287" spans="36:49">
      <c r="AJ287" s="12"/>
      <c r="AK287" s="12"/>
      <c r="AL287" s="12"/>
      <c r="AM287" s="12"/>
      <c r="AN287" s="12"/>
      <c r="AO287" s="12"/>
      <c r="AP287" s="12"/>
      <c r="AQ287" s="12"/>
      <c r="AR287" s="12"/>
      <c r="AS287" s="12"/>
      <c r="AT287" s="12"/>
      <c r="AU287" s="12"/>
      <c r="AV287" s="12"/>
      <c r="AW287" s="12"/>
    </row>
    <row r="288" spans="36:49">
      <c r="AJ288" s="12"/>
      <c r="AK288" s="12"/>
      <c r="AL288" s="12"/>
      <c r="AM288" s="12"/>
      <c r="AN288" s="12"/>
      <c r="AO288" s="12"/>
      <c r="AP288" s="12"/>
      <c r="AQ288" s="12"/>
      <c r="AR288" s="12"/>
      <c r="AS288" s="12"/>
      <c r="AT288" s="12"/>
      <c r="AU288" s="12"/>
      <c r="AV288" s="12"/>
      <c r="AW288" s="12"/>
    </row>
    <row r="289" spans="36:49">
      <c r="AJ289" s="12"/>
      <c r="AK289" s="12"/>
      <c r="AL289" s="12"/>
      <c r="AM289" s="12"/>
      <c r="AN289" s="12"/>
      <c r="AO289" s="12"/>
      <c r="AP289" s="12"/>
      <c r="AQ289" s="12"/>
      <c r="AR289" s="12"/>
      <c r="AS289" s="12"/>
      <c r="AT289" s="12"/>
      <c r="AU289" s="12"/>
      <c r="AV289" s="12"/>
      <c r="AW289" s="12"/>
    </row>
    <row r="290" spans="36:49">
      <c r="AJ290" s="12"/>
      <c r="AK290" s="12"/>
      <c r="AL290" s="12"/>
      <c r="AM290" s="12"/>
      <c r="AN290" s="12"/>
      <c r="AO290" s="12"/>
      <c r="AP290" s="12"/>
      <c r="AQ290" s="12"/>
      <c r="AR290" s="12"/>
      <c r="AS290" s="12"/>
      <c r="AT290" s="12"/>
      <c r="AU290" s="12"/>
      <c r="AV290" s="12"/>
      <c r="AW290" s="12"/>
    </row>
    <row r="291" spans="36:49">
      <c r="AJ291" s="12"/>
      <c r="AK291" s="12"/>
      <c r="AL291" s="12"/>
      <c r="AM291" s="12"/>
      <c r="AN291" s="12"/>
      <c r="AO291" s="12"/>
      <c r="AP291" s="12"/>
      <c r="AQ291" s="12"/>
      <c r="AR291" s="12"/>
      <c r="AS291" s="12"/>
      <c r="AT291" s="12"/>
      <c r="AU291" s="12"/>
      <c r="AV291" s="12"/>
      <c r="AW291" s="12"/>
    </row>
    <row r="292" spans="36:49">
      <c r="AJ292" s="12"/>
      <c r="AK292" s="12"/>
      <c r="AL292" s="12"/>
      <c r="AM292" s="12"/>
      <c r="AN292" s="12"/>
      <c r="AO292" s="12"/>
      <c r="AP292" s="12"/>
      <c r="AQ292" s="12"/>
      <c r="AR292" s="12"/>
      <c r="AS292" s="12"/>
      <c r="AT292" s="12"/>
      <c r="AU292" s="12"/>
      <c r="AV292" s="12"/>
      <c r="AW292" s="12"/>
    </row>
    <row r="293" spans="36:49">
      <c r="AJ293" s="12"/>
      <c r="AK293" s="12"/>
      <c r="AL293" s="12"/>
      <c r="AM293" s="12"/>
      <c r="AN293" s="12"/>
      <c r="AO293" s="12"/>
      <c r="AP293" s="12"/>
      <c r="AQ293" s="12"/>
      <c r="AR293" s="12"/>
      <c r="AS293" s="12"/>
      <c r="AT293" s="12"/>
      <c r="AU293" s="12"/>
      <c r="AV293" s="12"/>
      <c r="AW293" s="12"/>
    </row>
    <row r="294" spans="36:49">
      <c r="AJ294" s="12"/>
      <c r="AK294" s="12"/>
      <c r="AL294" s="12"/>
      <c r="AM294" s="12"/>
      <c r="AN294" s="12"/>
      <c r="AO294" s="12"/>
      <c r="AP294" s="12"/>
      <c r="AQ294" s="12"/>
      <c r="AR294" s="12"/>
      <c r="AS294" s="12"/>
      <c r="AT294" s="12"/>
      <c r="AU294" s="12"/>
      <c r="AV294" s="12"/>
      <c r="AW294" s="12"/>
    </row>
    <row r="295" spans="36:49">
      <c r="AJ295" s="12"/>
      <c r="AK295" s="12"/>
      <c r="AL295" s="12"/>
      <c r="AM295" s="12"/>
      <c r="AN295" s="12"/>
      <c r="AO295" s="12"/>
      <c r="AP295" s="12"/>
      <c r="AQ295" s="12"/>
      <c r="AR295" s="12"/>
      <c r="AS295" s="12"/>
      <c r="AT295" s="12"/>
      <c r="AU295" s="12"/>
      <c r="AV295" s="12"/>
      <c r="AW295" s="12"/>
    </row>
    <row r="296" spans="36:49">
      <c r="AJ296" s="12"/>
      <c r="AK296" s="12"/>
      <c r="AL296" s="12"/>
      <c r="AM296" s="12"/>
      <c r="AN296" s="12"/>
      <c r="AO296" s="12"/>
      <c r="AP296" s="12"/>
      <c r="AQ296" s="12"/>
      <c r="AR296" s="12"/>
      <c r="AS296" s="12"/>
      <c r="AT296" s="12"/>
      <c r="AU296" s="12"/>
      <c r="AV296" s="12"/>
      <c r="AW296" s="12"/>
    </row>
    <row r="297" spans="36:49">
      <c r="AJ297" s="12"/>
      <c r="AK297" s="12"/>
      <c r="AL297" s="12"/>
      <c r="AM297" s="12"/>
      <c r="AN297" s="12"/>
      <c r="AO297" s="12"/>
      <c r="AP297" s="12"/>
      <c r="AQ297" s="12"/>
      <c r="AR297" s="12"/>
      <c r="AS297" s="12"/>
      <c r="AT297" s="12"/>
      <c r="AU297" s="12"/>
      <c r="AV297" s="12"/>
      <c r="AW297" s="12"/>
    </row>
    <row r="298" spans="36:49">
      <c r="AJ298" s="12"/>
      <c r="AK298" s="12"/>
      <c r="AL298" s="12"/>
      <c r="AM298" s="12"/>
      <c r="AN298" s="12"/>
      <c r="AO298" s="12"/>
      <c r="AP298" s="12"/>
      <c r="AQ298" s="12"/>
      <c r="AR298" s="12"/>
      <c r="AS298" s="12"/>
      <c r="AT298" s="12"/>
      <c r="AU298" s="12"/>
      <c r="AV298" s="12"/>
      <c r="AW298" s="12"/>
    </row>
    <row r="299" spans="36:49">
      <c r="AJ299" s="12"/>
      <c r="AK299" s="12"/>
      <c r="AL299" s="12"/>
      <c r="AM299" s="12"/>
      <c r="AN299" s="12"/>
      <c r="AO299" s="12"/>
      <c r="AP299" s="12"/>
      <c r="AQ299" s="12"/>
      <c r="AR299" s="12"/>
      <c r="AS299" s="12"/>
      <c r="AT299" s="12"/>
      <c r="AU299" s="12"/>
      <c r="AV299" s="12"/>
      <c r="AW299" s="12"/>
    </row>
    <row r="300" spans="36:49">
      <c r="AJ300" s="12"/>
      <c r="AK300" s="12"/>
      <c r="AL300" s="12"/>
      <c r="AM300" s="12"/>
      <c r="AN300" s="12"/>
      <c r="AO300" s="12"/>
      <c r="AP300" s="12"/>
      <c r="AQ300" s="12"/>
      <c r="AR300" s="12"/>
      <c r="AS300" s="12"/>
      <c r="AT300" s="12"/>
      <c r="AU300" s="12"/>
      <c r="AV300" s="12"/>
      <c r="AW300" s="12"/>
    </row>
    <row r="301" spans="36:49">
      <c r="AJ301" s="12"/>
      <c r="AK301" s="12"/>
      <c r="AL301" s="12"/>
      <c r="AM301" s="12"/>
      <c r="AN301" s="12"/>
      <c r="AO301" s="12"/>
      <c r="AP301" s="12"/>
      <c r="AQ301" s="12"/>
      <c r="AR301" s="12"/>
      <c r="AS301" s="12"/>
      <c r="AT301" s="12"/>
      <c r="AU301" s="12"/>
      <c r="AV301" s="12"/>
      <c r="AW301" s="12"/>
    </row>
    <row r="302" spans="36:49">
      <c r="AJ302" s="12"/>
      <c r="AK302" s="12"/>
      <c r="AL302" s="12"/>
      <c r="AM302" s="12"/>
      <c r="AN302" s="12"/>
      <c r="AO302" s="12"/>
      <c r="AP302" s="12"/>
      <c r="AQ302" s="12"/>
      <c r="AR302" s="12"/>
      <c r="AS302" s="12"/>
      <c r="AT302" s="12"/>
      <c r="AU302" s="12"/>
      <c r="AV302" s="12"/>
      <c r="AW302" s="12"/>
    </row>
    <row r="303" spans="36:49">
      <c r="AJ303" s="12"/>
      <c r="AK303" s="12"/>
      <c r="AL303" s="12"/>
      <c r="AM303" s="12"/>
      <c r="AN303" s="12"/>
      <c r="AO303" s="12"/>
      <c r="AP303" s="12"/>
      <c r="AQ303" s="12"/>
      <c r="AR303" s="12"/>
      <c r="AS303" s="12"/>
      <c r="AT303" s="12"/>
      <c r="AU303" s="12"/>
      <c r="AV303" s="12"/>
      <c r="AW303" s="12"/>
    </row>
    <row r="304" spans="36:49">
      <c r="AJ304" s="12"/>
      <c r="AK304" s="12"/>
      <c r="AL304" s="12"/>
      <c r="AM304" s="12"/>
      <c r="AN304" s="12"/>
      <c r="AO304" s="12"/>
      <c r="AP304" s="12"/>
      <c r="AQ304" s="12"/>
      <c r="AR304" s="12"/>
      <c r="AS304" s="12"/>
      <c r="AT304" s="12"/>
      <c r="AU304" s="12"/>
      <c r="AV304" s="12"/>
      <c r="AW304" s="12"/>
    </row>
    <row r="305" spans="36:49">
      <c r="AJ305" s="12"/>
      <c r="AK305" s="12"/>
      <c r="AL305" s="12"/>
      <c r="AM305" s="12"/>
      <c r="AN305" s="12"/>
      <c r="AO305" s="12"/>
      <c r="AP305" s="12"/>
      <c r="AQ305" s="12"/>
      <c r="AR305" s="12"/>
      <c r="AS305" s="12"/>
      <c r="AT305" s="12"/>
      <c r="AU305" s="12"/>
      <c r="AV305" s="12"/>
      <c r="AW305" s="12"/>
    </row>
    <row r="306" spans="36:49">
      <c r="AJ306" s="12"/>
      <c r="AK306" s="12"/>
      <c r="AL306" s="12"/>
      <c r="AM306" s="12"/>
      <c r="AN306" s="12"/>
      <c r="AO306" s="12"/>
      <c r="AP306" s="12"/>
      <c r="AQ306" s="12"/>
      <c r="AR306" s="12"/>
      <c r="AS306" s="12"/>
      <c r="AT306" s="12"/>
      <c r="AU306" s="12"/>
      <c r="AV306" s="12"/>
      <c r="AW306" s="12"/>
    </row>
    <row r="307" spans="36:49">
      <c r="AJ307" s="12"/>
      <c r="AK307" s="12"/>
      <c r="AL307" s="12"/>
      <c r="AM307" s="12"/>
      <c r="AN307" s="12"/>
      <c r="AO307" s="12"/>
      <c r="AP307" s="12"/>
      <c r="AQ307" s="12"/>
      <c r="AR307" s="12"/>
      <c r="AS307" s="12"/>
      <c r="AT307" s="12"/>
      <c r="AU307" s="12"/>
      <c r="AV307" s="12"/>
      <c r="AW307" s="12"/>
    </row>
    <row r="308" spans="36:49">
      <c r="AJ308" s="12"/>
      <c r="AK308" s="12"/>
      <c r="AL308" s="12"/>
      <c r="AM308" s="12"/>
      <c r="AN308" s="12"/>
      <c r="AO308" s="12"/>
      <c r="AP308" s="12"/>
      <c r="AQ308" s="12"/>
      <c r="AR308" s="12"/>
      <c r="AS308" s="12"/>
      <c r="AT308" s="12"/>
      <c r="AU308" s="12"/>
      <c r="AV308" s="12"/>
      <c r="AW308" s="12"/>
    </row>
    <row r="309" spans="36:49">
      <c r="AJ309" s="12"/>
      <c r="AK309" s="12"/>
      <c r="AL309" s="12"/>
      <c r="AM309" s="12"/>
      <c r="AN309" s="12"/>
      <c r="AO309" s="12"/>
      <c r="AP309" s="12"/>
      <c r="AQ309" s="12"/>
      <c r="AR309" s="12"/>
      <c r="AS309" s="12"/>
      <c r="AT309" s="12"/>
      <c r="AU309" s="12"/>
      <c r="AV309" s="12"/>
      <c r="AW309" s="12"/>
    </row>
    <row r="310" spans="36:49">
      <c r="AJ310" s="12"/>
      <c r="AK310" s="12"/>
      <c r="AL310" s="12"/>
      <c r="AM310" s="12"/>
      <c r="AN310" s="12"/>
      <c r="AO310" s="12"/>
      <c r="AP310" s="12"/>
      <c r="AQ310" s="12"/>
      <c r="AR310" s="12"/>
      <c r="AS310" s="12"/>
      <c r="AT310" s="12"/>
      <c r="AU310" s="12"/>
      <c r="AV310" s="12"/>
      <c r="AW310" s="12"/>
    </row>
    <row r="311" spans="36:49">
      <c r="AJ311" s="12"/>
      <c r="AK311" s="12"/>
      <c r="AL311" s="12"/>
      <c r="AM311" s="12"/>
      <c r="AN311" s="12"/>
      <c r="AO311" s="12"/>
      <c r="AP311" s="12"/>
      <c r="AQ311" s="12"/>
      <c r="AR311" s="12"/>
      <c r="AS311" s="12"/>
      <c r="AT311" s="12"/>
      <c r="AU311" s="12"/>
      <c r="AV311" s="12"/>
      <c r="AW311" s="12"/>
    </row>
    <row r="312" spans="36:49">
      <c r="AJ312" s="12"/>
      <c r="AK312" s="12"/>
      <c r="AL312" s="12"/>
      <c r="AM312" s="12"/>
      <c r="AN312" s="12"/>
      <c r="AO312" s="12"/>
      <c r="AP312" s="12"/>
      <c r="AQ312" s="12"/>
      <c r="AR312" s="12"/>
      <c r="AS312" s="12"/>
      <c r="AT312" s="12"/>
      <c r="AU312" s="12"/>
      <c r="AV312" s="12"/>
      <c r="AW312" s="12"/>
    </row>
    <row r="313" spans="36:49">
      <c r="AJ313" s="12"/>
      <c r="AK313" s="12"/>
      <c r="AL313" s="12"/>
      <c r="AM313" s="12"/>
      <c r="AN313" s="12"/>
      <c r="AO313" s="12"/>
      <c r="AP313" s="12"/>
      <c r="AQ313" s="12"/>
      <c r="AR313" s="12"/>
      <c r="AS313" s="12"/>
      <c r="AT313" s="12"/>
      <c r="AU313" s="12"/>
      <c r="AV313" s="12"/>
      <c r="AW313" s="12"/>
    </row>
    <row r="314" spans="36:49">
      <c r="AJ314" s="12"/>
      <c r="AK314" s="12"/>
      <c r="AL314" s="12"/>
      <c r="AM314" s="12"/>
      <c r="AN314" s="12"/>
      <c r="AO314" s="12"/>
      <c r="AP314" s="12"/>
      <c r="AQ314" s="12"/>
      <c r="AR314" s="12"/>
      <c r="AS314" s="12"/>
      <c r="AT314" s="12"/>
      <c r="AU314" s="12"/>
      <c r="AV314" s="12"/>
      <c r="AW314" s="12"/>
    </row>
    <row r="315" spans="36:49">
      <c r="AJ315" s="12"/>
      <c r="AK315" s="12"/>
      <c r="AL315" s="12"/>
      <c r="AM315" s="12"/>
      <c r="AN315" s="12"/>
      <c r="AO315" s="12"/>
      <c r="AP315" s="12"/>
      <c r="AQ315" s="12"/>
      <c r="AR315" s="12"/>
      <c r="AS315" s="12"/>
      <c r="AT315" s="12"/>
      <c r="AU315" s="12"/>
      <c r="AV315" s="12"/>
      <c r="AW315" s="12"/>
    </row>
    <row r="316" spans="36:49">
      <c r="AJ316" s="12"/>
      <c r="AK316" s="12"/>
      <c r="AL316" s="12"/>
      <c r="AM316" s="12"/>
      <c r="AN316" s="12"/>
      <c r="AO316" s="12"/>
      <c r="AP316" s="12"/>
      <c r="AQ316" s="12"/>
      <c r="AR316" s="12"/>
      <c r="AS316" s="12"/>
      <c r="AT316" s="12"/>
      <c r="AU316" s="12"/>
      <c r="AV316" s="12"/>
      <c r="AW316" s="12"/>
    </row>
  </sheetData>
  <sheetProtection selectLockedCells="1" selectUnlockedCells="1"/>
  <mergeCells count="29">
    <mergeCell ref="AM1:AW1"/>
    <mergeCell ref="AB1:AL1"/>
    <mergeCell ref="AX1:BH1"/>
    <mergeCell ref="BI1:BS1"/>
    <mergeCell ref="BJ19:BL19"/>
    <mergeCell ref="BJ20:BL20"/>
    <mergeCell ref="BJ21:BL21"/>
    <mergeCell ref="BJ22:BL22"/>
    <mergeCell ref="BJ23:BL23"/>
    <mergeCell ref="AY19:BA19"/>
    <mergeCell ref="AY20:BA20"/>
    <mergeCell ref="AY21:BA21"/>
    <mergeCell ref="AY22:BA22"/>
    <mergeCell ref="AY23:BA23"/>
    <mergeCell ref="AN20:AP20"/>
    <mergeCell ref="AD3:AJ3"/>
    <mergeCell ref="AC19:AE19"/>
    <mergeCell ref="AN19:AP19"/>
    <mergeCell ref="D2:K2"/>
    <mergeCell ref="D11:M11"/>
    <mergeCell ref="D5:M5"/>
    <mergeCell ref="D10:M10"/>
    <mergeCell ref="AC20:AE20"/>
    <mergeCell ref="AN21:AP21"/>
    <mergeCell ref="AN22:AP22"/>
    <mergeCell ref="AN23:AP23"/>
    <mergeCell ref="AC23:AE23"/>
    <mergeCell ref="AC21:AE21"/>
    <mergeCell ref="AC22:AE22"/>
  </mergeCells>
  <phoneticPr fontId="0" type="noConversion"/>
  <dataValidations xWindow="1278" yWindow="491" count="10">
    <dataValidation type="list" allowBlank="1" showInputMessage="1" showErrorMessage="1" promptTitle="SELECT BASELINE YEAR" prompt="Records and selects the CCCI/EPI used at the year the estimate (Feasibilty Study) was generated._x000a__x000a_The calculated &quot;baseline modifier&quot; can be referenced and multiplied to the uniformat bldg system cost to adjust the estimated values to the current year._x000a__x000a_" sqref="S86" xr:uid="{00000000-0002-0000-0000-000000000000}">
      <formula1>CCCI_historic</formula1>
    </dataValidation>
    <dataValidation type="list" allowBlank="1" showInputMessage="1" promptTitle="SELECT CONSULTANT TYPE" sqref="AN19:AP23 AY19:BA23 BJ19:BL23" xr:uid="{00000000-0002-0000-0000-000001000000}">
      <formula1>SPECIALTY_CONSULTANT</formula1>
    </dataValidation>
    <dataValidation type="list" allowBlank="1" showInputMessage="1" promptTitle="SELECT CONSULTANT TYPE" prompt="Calculates fee of typical Consultants for Add services. _x000a_Refer to REFERENCE tab for Percentage fees used. " sqref="AC19:AE19" xr:uid="{00000000-0002-0000-0000-000002000000}">
      <formula1>SPECIALTY_CONSULTANT</formula1>
    </dataValidation>
    <dataValidation type="list" allowBlank="1" promptTitle="SELECT CONSULTANT TYPE" prompt="XX" sqref="AC20:AE23" xr:uid="{00000000-0002-0000-0000-000003000000}">
      <formula1>SPECIALTY_CONSULTANT</formula1>
    </dataValidation>
    <dataValidation type="list" allowBlank="1" showInputMessage="1" showErrorMessage="1" promptTitle="SELECT FUND TYPE" prompt="301 (NON-STREAMLINED): receives funding and requires DOF (or PWB) approval at every phase._x000a__x000a_302 (STREAMLINED): receives funding for PWC in one fiscal year. Does not require DOF approval at each phase._x000a__x000a_NON-STATE Funding Source is stricly Non-State only." sqref="Y5" xr:uid="{00000000-0002-0000-0000-000004000000}">
      <formula1>FUNDTYPE</formula1>
    </dataValidation>
    <dataValidation type="list" allowBlank="1" showInputMessage="1" showErrorMessage="1" promptTitle="SELECT A PHASE" prompt="Select Phase for submitted Milestone" sqref="D11:M11" xr:uid="{00000000-0002-0000-0000-000005000000}">
      <formula1>MILESTONEPHASES</formula1>
    </dataValidation>
    <dataValidation type="list" allowBlank="1" showInputMessage="1" showErrorMessage="1" promptTitle="SELECT DELIVERY METHOD" prompt="Calculates associated costs for selected Delivery Type per the NC/Renov and S/NS categories. Refer to FEE CALCS  and REFERENCES tab for detailed costs and values set for:_x000a_    1. AE &amp; CM FEE_x000a_    2. Project Contingency_x000a_    3. Gen Conditions/OH &amp; Profit " sqref="D10:M10" xr:uid="{00000000-0002-0000-0000-000006000000}">
      <formula1>DELIVERY_METHOD</formula1>
    </dataValidation>
    <dataValidation type="list" allowBlank="1" showInputMessage="1" showErrorMessage="1" promptTitle="SELECT CAMPUS" sqref="D5:M5" xr:uid="{00000000-0002-0000-0000-000007000000}">
      <formula1>Campus_list</formula1>
    </dataValidation>
    <dataValidation type="list" allowBlank="1" showInputMessage="1" showErrorMessage="1" promptTitle="SELECT PROJ TYPE" prompt="MAJOR PROJECT: Any project &gt; than 600K MCO_x000a__x000a_CAPITAL RENEWAL: A project to Upgrade/Replace Building systems_x000a__x000a_ENERGY PROJECT: A executed under a CSU Energy Program_x000a__x000a_" sqref="D2:F2" xr:uid="{00000000-0002-0000-0000-000008000000}">
      <formula1>PROJ_TYPE</formula1>
    </dataValidation>
    <dataValidation allowBlank="1" showErrorMessage="1" promptTitle="SELECT FUND TYPE" prompt="301 (NON-STREAMLINED): receives funding and requires DOF (or PWB) approval at every phase._x000a__x000a_302 (STREAMLINED): receives funding for PWC in one fiscal year. Does not require DOF approval at each phase._x000a__x000a_NON-STATE Funding Source is stricly Non-State only." sqref="X8" xr:uid="{00000000-0002-0000-0000-000009000000}"/>
  </dataValidations>
  <printOptions horizontalCentered="1"/>
  <pageMargins left="0.25" right="0" top="0.5" bottom="0" header="0.3" footer="0.3"/>
  <pageSetup scale="65" fitToWidth="3" orientation="portrait" blackAndWhite="1" cellComments="asDisplayed" r:id="rId1"/>
  <headerFooter differentOddEven="1">
    <oddHeader>&amp;R&amp;9
 &amp;F</oddHeader>
    <oddFooter xml:space="preserve">&amp;R&amp;"Arial,Regular"&amp;8
</oddFooter>
  </headerFooter>
  <colBreaks count="3" manualBreakCount="3">
    <brk id="24" max="81" man="1"/>
    <brk id="49" max="81" man="1"/>
    <brk id="60" max="81" man="1"/>
  </col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5FF898-9950-4E79-820B-442A95FB8D2B}">
  <sheetPr>
    <tabColor rgb="FF7030A0"/>
    <pageSetUpPr fitToPage="1"/>
  </sheetPr>
  <dimension ref="A1:O11"/>
  <sheetViews>
    <sheetView workbookViewId="0"/>
  </sheetViews>
  <sheetFormatPr defaultRowHeight="15"/>
  <cols>
    <col min="1" max="1" width="6.5" style="1289" customWidth="1"/>
    <col min="2" max="2" width="70.6640625" style="1289" customWidth="1"/>
    <col min="3" max="6" width="24" style="1289" customWidth="1"/>
    <col min="7" max="7" width="24" style="1290" customWidth="1"/>
    <col min="8" max="8" width="21" style="1289" bestFit="1" customWidth="1"/>
    <col min="9" max="9" width="11" style="1289" bestFit="1" customWidth="1"/>
    <col min="10" max="10" width="11.33203125" style="1289" bestFit="1" customWidth="1"/>
    <col min="11" max="11" width="18.5" style="1289" bestFit="1" customWidth="1"/>
    <col min="12" max="16384" width="9.33203125" style="1289"/>
  </cols>
  <sheetData>
    <row r="1" spans="1:15" ht="15.75" thickBot="1"/>
    <row r="2" spans="1:15" s="1307" customFormat="1" ht="47.25">
      <c r="A2" s="1311"/>
      <c r="B2" s="1310"/>
      <c r="C2" s="1309" t="s">
        <v>1248</v>
      </c>
      <c r="D2" s="1309" t="s">
        <v>1247</v>
      </c>
      <c r="E2" s="1309" t="s">
        <v>1246</v>
      </c>
      <c r="F2" s="1309" t="s">
        <v>1245</v>
      </c>
      <c r="G2" s="1308" t="s">
        <v>1237</v>
      </c>
      <c r="H2" s="1319" t="s">
        <v>1250</v>
      </c>
      <c r="I2" s="1319" t="s">
        <v>1249</v>
      </c>
      <c r="J2" s="1319" t="s">
        <v>1251</v>
      </c>
      <c r="K2" s="1319" t="s">
        <v>1252</v>
      </c>
    </row>
    <row r="3" spans="1:15" s="1297" customFormat="1" ht="24.95" customHeight="1">
      <c r="A3" s="1304" t="s">
        <v>1236</v>
      </c>
      <c r="B3" s="1303" t="s">
        <v>1244</v>
      </c>
      <c r="C3" s="1299" t="s">
        <v>1243</v>
      </c>
      <c r="D3" s="1306">
        <v>820000</v>
      </c>
      <c r="E3" s="1306">
        <v>440000</v>
      </c>
      <c r="F3" s="1306">
        <v>1180000</v>
      </c>
      <c r="G3" s="1298" t="s">
        <v>1242</v>
      </c>
      <c r="H3" s="1517"/>
      <c r="I3" s="1517"/>
      <c r="J3" s="1517"/>
      <c r="K3" s="1517"/>
      <c r="L3" s="1291"/>
      <c r="M3" s="1291"/>
      <c r="N3" s="1291"/>
      <c r="O3" s="1291"/>
    </row>
    <row r="5" spans="1:15" ht="15.75">
      <c r="A5" s="1291"/>
      <c r="B5" s="1291"/>
    </row>
    <row r="6" spans="1:15" ht="15.75">
      <c r="A6" s="1292"/>
      <c r="B6" s="1291"/>
    </row>
    <row r="7" spans="1:15" ht="15.75">
      <c r="A7" s="1293"/>
      <c r="B7" s="1291"/>
    </row>
    <row r="8" spans="1:15" ht="15.75">
      <c r="A8" s="1292"/>
      <c r="B8" s="1291"/>
    </row>
    <row r="9" spans="1:15" ht="15.75">
      <c r="A9" s="1292"/>
      <c r="B9" s="1291"/>
    </row>
    <row r="10" spans="1:15" ht="15.75">
      <c r="A10" s="1292"/>
      <c r="B10" s="1291"/>
    </row>
    <row r="11" spans="1:15" ht="15.75">
      <c r="A11" s="1293"/>
    </row>
  </sheetData>
  <pageMargins left="0.7" right="0.7" top="0.75" bottom="0.75" header="0.3" footer="0.3"/>
  <pageSetup scale="72" orientation="landscape" r:id="rId1"/>
  <headerFooter>
    <oddHeader>&amp;L&amp;"Times New Roman,Bold"&amp;12
CSU Fee Estimates for P3 Legal Advisors</oddHead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5"/>
  <dimension ref="A1:CJ111"/>
  <sheetViews>
    <sheetView workbookViewId="0">
      <pane xSplit="2" topLeftCell="C1" activePane="topRight" state="frozen"/>
      <selection pane="topRight" activeCell="M24" sqref="M24"/>
    </sheetView>
  </sheetViews>
  <sheetFormatPr defaultRowHeight="12.75"/>
  <cols>
    <col min="1" max="1" width="30.83203125" style="308" customWidth="1"/>
    <col min="2" max="2" width="18.83203125" style="308" customWidth="1"/>
    <col min="3" max="3" width="14.6640625" style="308" customWidth="1"/>
    <col min="4" max="4" width="15.83203125" style="308" customWidth="1"/>
    <col min="5" max="5" width="16.83203125" style="308" customWidth="1"/>
    <col min="6" max="6" width="19.83203125" style="308" customWidth="1"/>
    <col min="7" max="8" width="17.1640625" style="308" customWidth="1"/>
    <col min="9" max="9" width="34.1640625" style="308" customWidth="1"/>
    <col min="10" max="10" width="18.83203125" style="308" customWidth="1"/>
    <col min="11" max="11" width="17.33203125" style="308" customWidth="1"/>
    <col min="12" max="12" width="18.6640625" style="308" customWidth="1"/>
    <col min="13" max="13" width="17" style="308" customWidth="1"/>
    <col min="14" max="14" width="14.1640625" style="308" customWidth="1"/>
    <col min="15" max="15" width="15" style="308" customWidth="1"/>
    <col min="16" max="16" width="16.5" style="308" customWidth="1"/>
    <col min="17" max="17" width="34.1640625" style="308" customWidth="1"/>
    <col min="18" max="18" width="18.83203125" style="308" customWidth="1"/>
    <col min="19" max="19" width="17.33203125" style="308" customWidth="1"/>
    <col min="20" max="20" width="18.6640625" style="308" customWidth="1"/>
    <col min="21" max="21" width="17" style="308" customWidth="1"/>
    <col min="22" max="23" width="15.83203125" style="308" bestFit="1" customWidth="1"/>
    <col min="24" max="24" width="16.5" style="308" customWidth="1"/>
    <col min="25" max="25" width="34.1640625" style="308" customWidth="1"/>
    <col min="26" max="26" width="18.83203125" style="308" customWidth="1"/>
    <col min="27" max="27" width="17.33203125" style="308" customWidth="1"/>
    <col min="28" max="28" width="18.6640625" style="308" customWidth="1"/>
    <col min="29" max="29" width="17" style="308" customWidth="1"/>
    <col min="30" max="30" width="14.1640625" style="308" customWidth="1"/>
    <col min="31" max="31" width="15" style="308" customWidth="1"/>
    <col min="32" max="32" width="16.5" style="308" customWidth="1"/>
    <col min="33" max="88" width="9.33203125" style="317"/>
    <col min="89" max="16384" width="9.33203125" style="308"/>
  </cols>
  <sheetData>
    <row r="1" spans="1:88">
      <c r="A1" s="314"/>
      <c r="B1" s="314"/>
      <c r="C1" s="314"/>
      <c r="D1" s="314"/>
      <c r="E1" s="314"/>
      <c r="F1" s="314"/>
      <c r="G1" s="314"/>
      <c r="H1" s="314"/>
      <c r="I1" s="314"/>
      <c r="J1" s="314"/>
      <c r="L1" s="314"/>
      <c r="M1" s="314"/>
      <c r="N1" s="314"/>
      <c r="O1" s="314"/>
      <c r="P1" s="316"/>
      <c r="Q1" s="314"/>
      <c r="R1" s="314"/>
      <c r="T1" s="314"/>
      <c r="U1" s="314"/>
      <c r="V1" s="314"/>
      <c r="W1" s="314"/>
      <c r="X1" s="316"/>
      <c r="Y1" s="314"/>
      <c r="Z1" s="314"/>
      <c r="AB1" s="314"/>
      <c r="AC1" s="314"/>
      <c r="AD1" s="314"/>
      <c r="AE1" s="314"/>
      <c r="AF1" s="316"/>
    </row>
    <row r="2" spans="1:88" s="309" customFormat="1" ht="15.75" thickBot="1">
      <c r="A2" s="318"/>
      <c r="B2" s="1231" t="s">
        <v>66</v>
      </c>
      <c r="C2" s="534">
        <f>'USER INPUT'!R26</f>
        <v>0</v>
      </c>
      <c r="D2" s="829"/>
      <c r="E2" s="830"/>
      <c r="F2" s="830"/>
      <c r="G2" s="830"/>
      <c r="H2" s="830"/>
      <c r="I2" s="831"/>
      <c r="J2" s="319" t="s">
        <v>67</v>
      </c>
      <c r="K2" s="534">
        <f>+C2</f>
        <v>0</v>
      </c>
      <c r="L2" s="830"/>
      <c r="M2" s="830"/>
      <c r="N2" s="830"/>
      <c r="O2" s="830"/>
      <c r="P2" s="832"/>
      <c r="Q2" s="831"/>
      <c r="R2" s="319" t="s">
        <v>194</v>
      </c>
      <c r="S2" s="534">
        <f>+K2</f>
        <v>0</v>
      </c>
      <c r="T2" s="830"/>
      <c r="U2" s="830"/>
      <c r="V2" s="830"/>
      <c r="W2" s="830"/>
      <c r="X2" s="832"/>
      <c r="Y2" s="831"/>
      <c r="Z2" s="319" t="s">
        <v>69</v>
      </c>
      <c r="AA2" s="534">
        <f>+S2</f>
        <v>0</v>
      </c>
      <c r="AB2" s="830"/>
      <c r="AC2" s="830"/>
      <c r="AD2" s="830"/>
      <c r="AE2" s="830"/>
      <c r="AF2" s="832"/>
      <c r="AG2" s="320"/>
      <c r="AH2" s="320"/>
      <c r="AI2" s="320"/>
      <c r="AJ2" s="320"/>
      <c r="AK2" s="320"/>
      <c r="AL2" s="320"/>
      <c r="AM2" s="320"/>
      <c r="AN2" s="320"/>
      <c r="AO2" s="320"/>
      <c r="AP2" s="320"/>
      <c r="AQ2" s="320"/>
      <c r="AR2" s="320"/>
      <c r="AS2" s="320"/>
      <c r="AT2" s="320"/>
      <c r="AU2" s="320"/>
      <c r="AV2" s="320"/>
      <c r="AW2" s="320"/>
      <c r="AX2" s="320"/>
      <c r="AY2" s="320"/>
      <c r="AZ2" s="320"/>
      <c r="BA2" s="320"/>
      <c r="BB2" s="320"/>
      <c r="BC2" s="320"/>
      <c r="BD2" s="320"/>
      <c r="BE2" s="320"/>
      <c r="BF2" s="320"/>
      <c r="BG2" s="320"/>
      <c r="BH2" s="320"/>
      <c r="BI2" s="320"/>
      <c r="BJ2" s="320"/>
      <c r="BK2" s="320"/>
      <c r="BL2" s="320"/>
      <c r="BM2" s="320"/>
      <c r="BN2" s="320"/>
      <c r="BO2" s="320"/>
      <c r="BP2" s="320"/>
      <c r="BQ2" s="320"/>
      <c r="BR2" s="320"/>
      <c r="BS2" s="320"/>
      <c r="BT2" s="320"/>
      <c r="BU2" s="320"/>
      <c r="BV2" s="320"/>
      <c r="BW2" s="320"/>
      <c r="BX2" s="320"/>
      <c r="BY2" s="320"/>
      <c r="BZ2" s="320"/>
      <c r="CA2" s="320"/>
      <c r="CB2" s="320"/>
      <c r="CC2" s="320"/>
      <c r="CD2" s="320"/>
      <c r="CE2" s="320"/>
      <c r="CF2" s="320"/>
      <c r="CG2" s="320"/>
      <c r="CH2" s="320"/>
      <c r="CI2" s="320"/>
      <c r="CJ2" s="320"/>
    </row>
    <row r="3" spans="1:88" s="309" customFormat="1" ht="15.75">
      <c r="A3" s="321" t="s">
        <v>507</v>
      </c>
      <c r="B3" s="833">
        <f>'2-7'!O36</f>
        <v>0</v>
      </c>
      <c r="C3" s="834" t="s">
        <v>508</v>
      </c>
      <c r="D3" s="829"/>
      <c r="E3" s="835"/>
      <c r="F3" s="830"/>
      <c r="G3" s="830"/>
      <c r="H3" s="830"/>
      <c r="I3" s="321" t="s">
        <v>507</v>
      </c>
      <c r="J3" s="836">
        <f>'2-7'!Q36</f>
        <v>0</v>
      </c>
      <c r="K3" s="834" t="s">
        <v>508</v>
      </c>
      <c r="L3" s="835"/>
      <c r="M3" s="830"/>
      <c r="N3" s="830"/>
      <c r="O3" s="830"/>
      <c r="P3" s="832"/>
      <c r="Q3" s="321" t="s">
        <v>507</v>
      </c>
      <c r="R3" s="836">
        <f>'2-7'!S36</f>
        <v>0</v>
      </c>
      <c r="S3" s="834" t="s">
        <v>508</v>
      </c>
      <c r="T3" s="835"/>
      <c r="U3" s="830"/>
      <c r="V3" s="830"/>
      <c r="W3" s="830"/>
      <c r="X3" s="832"/>
      <c r="Y3" s="321" t="s">
        <v>507</v>
      </c>
      <c r="Z3" s="836">
        <f>'2-7'!U36</f>
        <v>0</v>
      </c>
      <c r="AA3" s="834" t="s">
        <v>508</v>
      </c>
      <c r="AB3" s="835"/>
      <c r="AC3" s="830"/>
      <c r="AD3" s="830"/>
      <c r="AE3" s="830"/>
      <c r="AF3" s="832"/>
      <c r="AG3" s="320"/>
      <c r="AH3" s="320"/>
      <c r="AI3" s="320"/>
      <c r="AJ3" s="320"/>
      <c r="AK3" s="320"/>
      <c r="AL3" s="320"/>
      <c r="AM3" s="320"/>
      <c r="AN3" s="320"/>
      <c r="AO3" s="320"/>
      <c r="AP3" s="320"/>
      <c r="AQ3" s="320"/>
      <c r="AR3" s="320"/>
      <c r="AS3" s="320"/>
      <c r="AT3" s="320"/>
      <c r="AU3" s="320"/>
      <c r="AV3" s="320"/>
      <c r="AW3" s="320"/>
      <c r="AX3" s="320"/>
      <c r="AY3" s="320"/>
      <c r="AZ3" s="320"/>
      <c r="BA3" s="320"/>
      <c r="BB3" s="320"/>
      <c r="BC3" s="320"/>
      <c r="BD3" s="320"/>
      <c r="BE3" s="320"/>
      <c r="BF3" s="320"/>
      <c r="BG3" s="320"/>
      <c r="BH3" s="320"/>
      <c r="BI3" s="320"/>
      <c r="BJ3" s="320"/>
      <c r="BK3" s="320"/>
      <c r="BL3" s="320"/>
      <c r="BM3" s="320"/>
      <c r="BN3" s="320"/>
      <c r="BO3" s="320"/>
      <c r="BP3" s="320"/>
      <c r="BQ3" s="320"/>
      <c r="BR3" s="320"/>
      <c r="BS3" s="320"/>
      <c r="BT3" s="320"/>
      <c r="BU3" s="320"/>
      <c r="BV3" s="320"/>
      <c r="BW3" s="320"/>
      <c r="BX3" s="320"/>
      <c r="BY3" s="320"/>
      <c r="BZ3" s="320"/>
      <c r="CA3" s="320"/>
      <c r="CB3" s="320"/>
      <c r="CC3" s="320"/>
      <c r="CD3" s="320"/>
      <c r="CE3" s="320"/>
      <c r="CF3" s="320"/>
      <c r="CG3" s="320"/>
      <c r="CH3" s="320"/>
      <c r="CI3" s="320"/>
      <c r="CJ3" s="320"/>
    </row>
    <row r="4" spans="1:88" s="309" customFormat="1" ht="15.75">
      <c r="A4" s="321"/>
      <c r="B4" s="833"/>
      <c r="C4" s="837"/>
      <c r="D4" s="830"/>
      <c r="E4" s="830" t="s">
        <v>16</v>
      </c>
      <c r="F4" s="838"/>
      <c r="G4" s="830"/>
      <c r="H4" s="830"/>
      <c r="I4" s="321"/>
      <c r="J4" s="836"/>
      <c r="K4" s="835"/>
      <c r="L4" s="835"/>
      <c r="M4" s="832"/>
      <c r="N4" s="830"/>
      <c r="O4" s="830"/>
      <c r="P4" s="832"/>
      <c r="Q4" s="321"/>
      <c r="R4" s="836"/>
      <c r="S4" s="835"/>
      <c r="T4" s="835"/>
      <c r="U4" s="832"/>
      <c r="V4" s="830"/>
      <c r="W4" s="830"/>
      <c r="X4" s="832"/>
      <c r="Y4" s="321"/>
      <c r="Z4" s="836"/>
      <c r="AA4" s="835"/>
      <c r="AB4" s="835"/>
      <c r="AC4" s="832"/>
      <c r="AD4" s="830"/>
      <c r="AE4" s="830"/>
      <c r="AF4" s="832"/>
      <c r="AG4" s="320"/>
      <c r="AH4" s="320"/>
      <c r="AI4" s="320"/>
      <c r="AJ4" s="320"/>
      <c r="AK4" s="320"/>
      <c r="AL4" s="320"/>
      <c r="AM4" s="320"/>
      <c r="AN4" s="320"/>
      <c r="AO4" s="320"/>
      <c r="AP4" s="320"/>
      <c r="AQ4" s="320"/>
      <c r="AR4" s="320"/>
      <c r="AS4" s="320"/>
      <c r="AT4" s="320"/>
      <c r="AU4" s="320"/>
      <c r="AV4" s="320"/>
      <c r="AW4" s="320"/>
      <c r="AX4" s="320"/>
      <c r="AY4" s="320"/>
      <c r="AZ4" s="320"/>
      <c r="BA4" s="320"/>
      <c r="BB4" s="320"/>
      <c r="BC4" s="320"/>
      <c r="BD4" s="320"/>
      <c r="BE4" s="320"/>
      <c r="BF4" s="320"/>
      <c r="BG4" s="320"/>
      <c r="BH4" s="320"/>
      <c r="BI4" s="320"/>
      <c r="BJ4" s="320"/>
      <c r="BK4" s="320"/>
      <c r="BL4" s="320"/>
      <c r="BM4" s="320"/>
      <c r="BN4" s="320"/>
      <c r="BO4" s="320"/>
      <c r="BP4" s="320"/>
      <c r="BQ4" s="320"/>
      <c r="BR4" s="320"/>
      <c r="BS4" s="320"/>
      <c r="BT4" s="320"/>
      <c r="BU4" s="320"/>
      <c r="BV4" s="320"/>
      <c r="BW4" s="320"/>
      <c r="BX4" s="320"/>
      <c r="BY4" s="320"/>
      <c r="BZ4" s="320"/>
      <c r="CA4" s="320"/>
      <c r="CB4" s="320"/>
      <c r="CC4" s="320"/>
      <c r="CD4" s="320"/>
      <c r="CE4" s="320"/>
      <c r="CF4" s="320"/>
      <c r="CG4" s="320"/>
      <c r="CH4" s="320"/>
      <c r="CI4" s="320"/>
      <c r="CJ4" s="320"/>
    </row>
    <row r="5" spans="1:88" s="324" customFormat="1" ht="15.75">
      <c r="A5" s="322" t="s">
        <v>509</v>
      </c>
      <c r="B5" s="839">
        <f>SUM(B3:B4)</f>
        <v>0</v>
      </c>
      <c r="C5" s="840"/>
      <c r="D5" s="835"/>
      <c r="E5" s="835"/>
      <c r="F5" s="832"/>
      <c r="G5" s="841"/>
      <c r="H5" s="841"/>
      <c r="I5" s="322" t="s">
        <v>509</v>
      </c>
      <c r="J5" s="842">
        <f>SUM(J3:J4)</f>
        <v>0</v>
      </c>
      <c r="K5" s="841"/>
      <c r="L5" s="841"/>
      <c r="M5" s="843"/>
      <c r="N5" s="843"/>
      <c r="O5" s="843"/>
      <c r="P5" s="843"/>
      <c r="Q5" s="322" t="s">
        <v>509</v>
      </c>
      <c r="R5" s="842">
        <f>SUM(R3:R4)</f>
        <v>0</v>
      </c>
      <c r="S5" s="841"/>
      <c r="T5" s="841"/>
      <c r="U5" s="843"/>
      <c r="V5" s="843"/>
      <c r="W5" s="843"/>
      <c r="X5" s="843"/>
      <c r="Y5" s="322" t="s">
        <v>509</v>
      </c>
      <c r="Z5" s="842">
        <f>SUM(Z3:Z4)</f>
        <v>0</v>
      </c>
      <c r="AA5" s="841"/>
      <c r="AB5" s="841"/>
      <c r="AC5" s="843"/>
      <c r="AD5" s="843"/>
      <c r="AE5" s="843"/>
      <c r="AF5" s="843"/>
      <c r="AG5" s="323"/>
      <c r="AH5" s="323"/>
      <c r="AI5" s="323"/>
      <c r="AJ5" s="323"/>
      <c r="AK5" s="323"/>
      <c r="AL5" s="323"/>
      <c r="AM5" s="323"/>
      <c r="AN5" s="323"/>
      <c r="AO5" s="323"/>
      <c r="AP5" s="323"/>
      <c r="AQ5" s="323"/>
      <c r="AR5" s="323"/>
      <c r="AS5" s="323"/>
      <c r="AT5" s="323"/>
      <c r="AU5" s="323"/>
      <c r="AV5" s="323"/>
      <c r="AW5" s="323"/>
      <c r="AX5" s="323"/>
      <c r="AY5" s="323"/>
      <c r="AZ5" s="323"/>
      <c r="BA5" s="323"/>
      <c r="BB5" s="323"/>
      <c r="BC5" s="323"/>
      <c r="BD5" s="323"/>
      <c r="BE5" s="323"/>
      <c r="BF5" s="323"/>
      <c r="BG5" s="323"/>
      <c r="BH5" s="323"/>
      <c r="BI5" s="323"/>
      <c r="BJ5" s="323"/>
      <c r="BK5" s="323"/>
      <c r="BL5" s="323"/>
      <c r="BM5" s="323"/>
      <c r="BN5" s="323"/>
      <c r="BO5" s="323"/>
      <c r="BP5" s="323"/>
      <c r="BQ5" s="323"/>
      <c r="BR5" s="323"/>
      <c r="BS5" s="323"/>
      <c r="BT5" s="323"/>
      <c r="BU5" s="323"/>
      <c r="BV5" s="323"/>
      <c r="BW5" s="323"/>
      <c r="BX5" s="323"/>
      <c r="BY5" s="323"/>
      <c r="BZ5" s="323"/>
      <c r="CA5" s="323"/>
      <c r="CB5" s="323"/>
      <c r="CC5" s="323"/>
      <c r="CD5" s="323"/>
      <c r="CE5" s="323"/>
      <c r="CF5" s="323"/>
      <c r="CG5" s="323"/>
      <c r="CH5" s="323"/>
      <c r="CI5" s="323"/>
      <c r="CJ5" s="323"/>
    </row>
    <row r="6" spans="1:88" s="324" customFormat="1" ht="16.5" thickBot="1">
      <c r="A6" s="325"/>
      <c r="B6" s="841"/>
      <c r="C6" s="841"/>
      <c r="D6" s="841"/>
      <c r="E6" s="841"/>
      <c r="F6" s="841"/>
      <c r="G6" s="841"/>
      <c r="H6" s="841"/>
      <c r="I6" s="841"/>
      <c r="J6" s="841"/>
      <c r="K6" s="841"/>
      <c r="L6" s="841"/>
      <c r="M6" s="843"/>
      <c r="N6" s="843"/>
      <c r="O6" s="843"/>
      <c r="P6" s="844"/>
      <c r="Q6" s="841"/>
      <c r="R6" s="841"/>
      <c r="S6" s="841"/>
      <c r="T6" s="841"/>
      <c r="U6" s="843"/>
      <c r="V6" s="843"/>
      <c r="W6" s="843"/>
      <c r="X6" s="844"/>
      <c r="Y6" s="841"/>
      <c r="Z6" s="841"/>
      <c r="AA6" s="841"/>
      <c r="AB6" s="841"/>
      <c r="AC6" s="843"/>
      <c r="AD6" s="843"/>
      <c r="AE6" s="843"/>
      <c r="AF6" s="844"/>
      <c r="AG6" s="323"/>
      <c r="AH6" s="323"/>
      <c r="AI6" s="323"/>
      <c r="AJ6" s="323"/>
      <c r="AK6" s="323"/>
      <c r="AL6" s="323"/>
      <c r="AM6" s="323"/>
      <c r="AN6" s="323"/>
      <c r="AO6" s="323"/>
      <c r="AP6" s="323"/>
      <c r="AQ6" s="323"/>
      <c r="AR6" s="323"/>
      <c r="AS6" s="323"/>
      <c r="AT6" s="323"/>
      <c r="AU6" s="323"/>
      <c r="AV6" s="323"/>
      <c r="AW6" s="323"/>
      <c r="AX6" s="323"/>
      <c r="AY6" s="323"/>
      <c r="AZ6" s="323"/>
      <c r="BA6" s="323"/>
      <c r="BB6" s="323"/>
      <c r="BC6" s="323"/>
      <c r="BD6" s="323"/>
      <c r="BE6" s="323"/>
      <c r="BF6" s="323"/>
      <c r="BG6" s="323"/>
      <c r="BH6" s="323"/>
      <c r="BI6" s="323"/>
      <c r="BJ6" s="323"/>
      <c r="BK6" s="323"/>
      <c r="BL6" s="323"/>
      <c r="BM6" s="323"/>
      <c r="BN6" s="323"/>
      <c r="BO6" s="323"/>
      <c r="BP6" s="323"/>
      <c r="BQ6" s="323"/>
      <c r="BR6" s="323"/>
      <c r="BS6" s="323"/>
      <c r="BT6" s="323"/>
      <c r="BU6" s="323"/>
      <c r="BV6" s="323"/>
      <c r="BW6" s="323"/>
      <c r="BX6" s="323"/>
      <c r="BY6" s="323"/>
      <c r="BZ6" s="323"/>
      <c r="CA6" s="323"/>
      <c r="CB6" s="323"/>
      <c r="CC6" s="323"/>
      <c r="CD6" s="323"/>
      <c r="CE6" s="323"/>
      <c r="CF6" s="323"/>
      <c r="CG6" s="323"/>
      <c r="CH6" s="323"/>
      <c r="CI6" s="323"/>
      <c r="CJ6" s="323"/>
    </row>
    <row r="7" spans="1:88" s="327" customFormat="1" ht="15.75" thickBot="1">
      <c r="A7" s="178" t="s">
        <v>510</v>
      </c>
      <c r="B7" s="845"/>
      <c r="C7" s="1460" t="s">
        <v>511</v>
      </c>
      <c r="D7" s="1461"/>
      <c r="E7" s="1453" t="s">
        <v>512</v>
      </c>
      <c r="F7" s="1454"/>
      <c r="G7" s="1455" t="s">
        <v>513</v>
      </c>
      <c r="H7" s="1456"/>
      <c r="I7" s="846" t="s">
        <v>514</v>
      </c>
      <c r="J7" s="845"/>
      <c r="K7" s="1460" t="s">
        <v>511</v>
      </c>
      <c r="L7" s="1461"/>
      <c r="M7" s="1453" t="s">
        <v>512</v>
      </c>
      <c r="N7" s="1454"/>
      <c r="O7" s="1455" t="s">
        <v>513</v>
      </c>
      <c r="P7" s="1456"/>
      <c r="Q7" s="846" t="s">
        <v>514</v>
      </c>
      <c r="R7" s="845"/>
      <c r="S7" s="1460" t="s">
        <v>511</v>
      </c>
      <c r="T7" s="1461"/>
      <c r="U7" s="1453" t="s">
        <v>512</v>
      </c>
      <c r="V7" s="1454"/>
      <c r="W7" s="1455" t="s">
        <v>513</v>
      </c>
      <c r="X7" s="1456"/>
      <c r="Y7" s="846" t="s">
        <v>514</v>
      </c>
      <c r="Z7" s="845"/>
      <c r="AA7" s="1460" t="s">
        <v>511</v>
      </c>
      <c r="AB7" s="1461"/>
      <c r="AC7" s="1453" t="s">
        <v>512</v>
      </c>
      <c r="AD7" s="1454"/>
      <c r="AE7" s="1455" t="s">
        <v>513</v>
      </c>
      <c r="AF7" s="1456"/>
      <c r="AG7" s="317"/>
      <c r="AH7" s="317"/>
      <c r="AI7" s="317"/>
      <c r="AJ7" s="317"/>
      <c r="AK7" s="317"/>
      <c r="AL7" s="317"/>
      <c r="AM7" s="317"/>
      <c r="AN7" s="317"/>
      <c r="AO7" s="317"/>
      <c r="AP7" s="317"/>
      <c r="AQ7" s="317"/>
      <c r="AR7" s="317"/>
      <c r="AS7" s="317"/>
      <c r="AT7" s="317"/>
      <c r="AU7" s="317"/>
      <c r="AV7" s="317"/>
      <c r="AW7" s="317"/>
      <c r="AX7" s="317"/>
      <c r="AY7" s="317"/>
      <c r="AZ7" s="317"/>
      <c r="BA7" s="317"/>
      <c r="BB7" s="317"/>
      <c r="BC7" s="317"/>
      <c r="BD7" s="317"/>
      <c r="BE7" s="317"/>
      <c r="BF7" s="317"/>
      <c r="BG7" s="317"/>
      <c r="BH7" s="317"/>
      <c r="BI7" s="317"/>
      <c r="BJ7" s="317"/>
      <c r="BK7" s="317"/>
      <c r="BL7" s="317"/>
      <c r="BM7" s="317"/>
      <c r="BN7" s="317"/>
      <c r="BO7" s="317"/>
      <c r="BP7" s="317"/>
      <c r="BQ7" s="317"/>
      <c r="BR7" s="317"/>
      <c r="BS7" s="317"/>
      <c r="BT7" s="317"/>
      <c r="BU7" s="317"/>
      <c r="BV7" s="317"/>
      <c r="BW7" s="317"/>
      <c r="BX7" s="317"/>
      <c r="BY7" s="317"/>
      <c r="BZ7" s="317"/>
      <c r="CA7" s="317"/>
      <c r="CB7" s="317"/>
      <c r="CC7" s="317"/>
      <c r="CD7" s="317"/>
      <c r="CE7" s="317"/>
      <c r="CF7" s="317"/>
      <c r="CG7" s="317"/>
      <c r="CH7" s="317"/>
      <c r="CI7" s="317"/>
      <c r="CJ7" s="317"/>
    </row>
    <row r="8" spans="1:88" s="314" customFormat="1" ht="15.75">
      <c r="A8" s="328"/>
      <c r="B8" s="847"/>
      <c r="C8" s="848" t="s">
        <v>515</v>
      </c>
      <c r="D8" s="851" t="s">
        <v>516</v>
      </c>
      <c r="E8" s="1145" t="s">
        <v>517</v>
      </c>
      <c r="F8" s="851" t="s">
        <v>518</v>
      </c>
      <c r="G8" s="849" t="s">
        <v>519</v>
      </c>
      <c r="H8" s="850" t="s">
        <v>520</v>
      </c>
      <c r="I8" s="971"/>
      <c r="J8" s="847"/>
      <c r="K8" s="1157" t="s">
        <v>515</v>
      </c>
      <c r="L8" s="1158" t="s">
        <v>516</v>
      </c>
      <c r="M8" s="1160" t="s">
        <v>517</v>
      </c>
      <c r="N8" s="1158" t="s">
        <v>518</v>
      </c>
      <c r="O8" s="1093" t="s">
        <v>519</v>
      </c>
      <c r="P8" s="850" t="s">
        <v>520</v>
      </c>
      <c r="Q8" s="971"/>
      <c r="R8" s="847"/>
      <c r="S8" s="1157" t="s">
        <v>515</v>
      </c>
      <c r="T8" s="1158" t="s">
        <v>516</v>
      </c>
      <c r="U8" s="1160" t="s">
        <v>517</v>
      </c>
      <c r="V8" s="1158" t="s">
        <v>518</v>
      </c>
      <c r="W8" s="1093" t="s">
        <v>519</v>
      </c>
      <c r="X8" s="850" t="s">
        <v>520</v>
      </c>
      <c r="Y8" s="971"/>
      <c r="Z8" s="847"/>
      <c r="AA8" s="1157" t="s">
        <v>515</v>
      </c>
      <c r="AB8" s="1158" t="s">
        <v>516</v>
      </c>
      <c r="AC8" s="1160" t="s">
        <v>517</v>
      </c>
      <c r="AD8" s="1158" t="s">
        <v>518</v>
      </c>
      <c r="AE8" s="1093" t="s">
        <v>519</v>
      </c>
      <c r="AF8" s="850" t="s">
        <v>520</v>
      </c>
      <c r="AG8" s="316"/>
      <c r="AH8" s="316"/>
      <c r="AI8" s="316"/>
      <c r="AJ8" s="316"/>
      <c r="AK8" s="316"/>
      <c r="AL8" s="316"/>
      <c r="AM8" s="316"/>
      <c r="AN8" s="316"/>
      <c r="AO8" s="316"/>
      <c r="AP8" s="316"/>
      <c r="AQ8" s="316"/>
      <c r="AR8" s="316"/>
      <c r="AS8" s="316"/>
      <c r="AT8" s="316"/>
      <c r="AU8" s="316"/>
      <c r="AV8" s="316"/>
      <c r="AW8" s="316"/>
      <c r="AX8" s="316"/>
      <c r="AY8" s="316"/>
      <c r="AZ8" s="316"/>
      <c r="BA8" s="316"/>
      <c r="BB8" s="316"/>
      <c r="BC8" s="316"/>
      <c r="BD8" s="316"/>
      <c r="BE8" s="316"/>
      <c r="BF8" s="316"/>
      <c r="BG8" s="316"/>
      <c r="BH8" s="316"/>
      <c r="BI8" s="316"/>
      <c r="BJ8" s="316"/>
      <c r="BK8" s="316"/>
      <c r="BL8" s="316"/>
      <c r="BM8" s="316"/>
      <c r="BN8" s="316"/>
      <c r="BO8" s="316"/>
      <c r="BP8" s="316"/>
      <c r="BQ8" s="316"/>
      <c r="BR8" s="316"/>
      <c r="BS8" s="316"/>
      <c r="BT8" s="316"/>
      <c r="BU8" s="316"/>
      <c r="BV8" s="316"/>
      <c r="BW8" s="316"/>
      <c r="BX8" s="316"/>
      <c r="BY8" s="316"/>
      <c r="BZ8" s="316"/>
      <c r="CA8" s="316"/>
      <c r="CB8" s="316"/>
      <c r="CC8" s="316"/>
      <c r="CD8" s="316"/>
      <c r="CE8" s="316"/>
      <c r="CF8" s="316"/>
      <c r="CG8" s="316"/>
      <c r="CH8" s="316"/>
      <c r="CI8" s="316"/>
      <c r="CJ8" s="316"/>
    </row>
    <row r="9" spans="1:88" s="314" customFormat="1" ht="15.75">
      <c r="A9" s="963" t="s">
        <v>521</v>
      </c>
      <c r="B9" s="851" t="s">
        <v>70</v>
      </c>
      <c r="C9" s="852">
        <v>0.25</v>
      </c>
      <c r="D9" s="1136">
        <v>0.15</v>
      </c>
      <c r="E9" s="1146">
        <v>0.35</v>
      </c>
      <c r="F9" s="1136">
        <v>0.02</v>
      </c>
      <c r="G9" s="852">
        <v>0.21</v>
      </c>
      <c r="H9" s="853">
        <v>0.02</v>
      </c>
      <c r="I9" s="963" t="s">
        <v>521</v>
      </c>
      <c r="J9" s="851" t="s">
        <v>70</v>
      </c>
      <c r="K9" s="1146">
        <v>0.25</v>
      </c>
      <c r="L9" s="1136">
        <v>0.15</v>
      </c>
      <c r="M9" s="1146">
        <v>0.35</v>
      </c>
      <c r="N9" s="1136">
        <v>0.02</v>
      </c>
      <c r="O9" s="852">
        <v>0.21</v>
      </c>
      <c r="P9" s="853">
        <v>0.02</v>
      </c>
      <c r="Q9" s="963" t="s">
        <v>521</v>
      </c>
      <c r="R9" s="851" t="s">
        <v>70</v>
      </c>
      <c r="S9" s="1146">
        <v>0.25</v>
      </c>
      <c r="T9" s="1136">
        <v>0.15</v>
      </c>
      <c r="U9" s="1146">
        <v>0.35</v>
      </c>
      <c r="V9" s="1136">
        <v>0.02</v>
      </c>
      <c r="W9" s="852">
        <v>0.21</v>
      </c>
      <c r="X9" s="853">
        <v>0.02</v>
      </c>
      <c r="Y9" s="963" t="s">
        <v>521</v>
      </c>
      <c r="Z9" s="851" t="s">
        <v>70</v>
      </c>
      <c r="AA9" s="1146">
        <v>0.25</v>
      </c>
      <c r="AB9" s="1136">
        <v>0.15</v>
      </c>
      <c r="AC9" s="1146">
        <v>0.35</v>
      </c>
      <c r="AD9" s="1136">
        <v>0.02</v>
      </c>
      <c r="AE9" s="852">
        <v>0.21</v>
      </c>
      <c r="AF9" s="853">
        <v>0.02</v>
      </c>
      <c r="AG9" s="316"/>
      <c r="AH9" s="316"/>
      <c r="AI9" s="316"/>
      <c r="AJ9" s="316"/>
      <c r="AK9" s="316"/>
      <c r="AL9" s="316"/>
      <c r="AM9" s="316"/>
      <c r="AN9" s="316"/>
      <c r="AO9" s="316"/>
      <c r="AP9" s="316"/>
      <c r="AQ9" s="316"/>
      <c r="AR9" s="316"/>
      <c r="AS9" s="316"/>
      <c r="AT9" s="316"/>
      <c r="AU9" s="316"/>
      <c r="AV9" s="316"/>
      <c r="AW9" s="316"/>
      <c r="AX9" s="316"/>
      <c r="AY9" s="316"/>
      <c r="AZ9" s="316"/>
      <c r="BA9" s="316"/>
      <c r="BB9" s="316"/>
      <c r="BC9" s="316"/>
      <c r="BD9" s="316"/>
      <c r="BE9" s="316"/>
      <c r="BF9" s="316"/>
      <c r="BG9" s="316"/>
      <c r="BH9" s="316"/>
      <c r="BI9" s="316"/>
      <c r="BJ9" s="316"/>
      <c r="BK9" s="316"/>
      <c r="BL9" s="316"/>
      <c r="BM9" s="316"/>
      <c r="BN9" s="316"/>
      <c r="BO9" s="316"/>
      <c r="BP9" s="316"/>
      <c r="BQ9" s="316"/>
      <c r="BR9" s="316"/>
      <c r="BS9" s="316"/>
      <c r="BT9" s="316"/>
      <c r="BU9" s="316"/>
      <c r="BV9" s="316"/>
      <c r="BW9" s="316"/>
      <c r="BX9" s="316"/>
      <c r="BY9" s="316"/>
      <c r="BZ9" s="316"/>
      <c r="CA9" s="316"/>
      <c r="CB9" s="316"/>
      <c r="CC9" s="316"/>
      <c r="CD9" s="316"/>
      <c r="CE9" s="316"/>
      <c r="CF9" s="316"/>
      <c r="CG9" s="316"/>
      <c r="CH9" s="316"/>
      <c r="CI9" s="316"/>
      <c r="CJ9" s="316"/>
    </row>
    <row r="10" spans="1:88" s="314" customFormat="1" ht="15.75">
      <c r="A10" s="964" t="s">
        <v>522</v>
      </c>
      <c r="B10" s="854">
        <f>+D43</f>
        <v>0</v>
      </c>
      <c r="C10" s="855">
        <f>ROUND((B10*C9),0-3)</f>
        <v>0</v>
      </c>
      <c r="D10" s="1137">
        <f>ROUND(($B10*D9),-3)</f>
        <v>0</v>
      </c>
      <c r="E10" s="1147">
        <f>ROUND((B10*E9),0-3)</f>
        <v>0</v>
      </c>
      <c r="F10" s="1137">
        <f>B10-H10-G10-C10-D10-E10</f>
        <v>0</v>
      </c>
      <c r="G10" s="855">
        <f>ROUND((B10*G9),0-3)</f>
        <v>0</v>
      </c>
      <c r="H10" s="856">
        <f>ROUND((B10*H9),0-3)</f>
        <v>0</v>
      </c>
      <c r="I10" s="964" t="s">
        <v>522</v>
      </c>
      <c r="J10" s="857">
        <f>+L43</f>
        <v>0</v>
      </c>
      <c r="K10" s="1147">
        <f>ROUND((J10*K9),0-3)</f>
        <v>0</v>
      </c>
      <c r="L10" s="1137">
        <f>ROUND(($J10*L9),0-3)</f>
        <v>0</v>
      </c>
      <c r="M10" s="1147">
        <f>ROUND((J10*M9),0-3)</f>
        <v>0</v>
      </c>
      <c r="N10" s="1137">
        <f>J10-K10-L10-M10-P10-O10</f>
        <v>0</v>
      </c>
      <c r="O10" s="855">
        <f>ROUND((J10*O9),0-3)</f>
        <v>0</v>
      </c>
      <c r="P10" s="856">
        <f>ROUND((J10*P9),0-3)</f>
        <v>0</v>
      </c>
      <c r="Q10" s="964" t="s">
        <v>522</v>
      </c>
      <c r="R10" s="857">
        <f>+T43</f>
        <v>0</v>
      </c>
      <c r="S10" s="1147">
        <f>ROUND((R10*S9),0-3)</f>
        <v>0</v>
      </c>
      <c r="T10" s="1137">
        <f>ROUND(($J10*T9),0-3)</f>
        <v>0</v>
      </c>
      <c r="U10" s="1147">
        <f>ROUND((R10*U9),0-3)</f>
        <v>0</v>
      </c>
      <c r="V10" s="1137">
        <f>R10-S10-T10-U10-X10-W10</f>
        <v>0</v>
      </c>
      <c r="W10" s="855">
        <f>ROUND((R10*W9),0-3)</f>
        <v>0</v>
      </c>
      <c r="X10" s="856">
        <f>ROUND((R10*X9),0-3)</f>
        <v>0</v>
      </c>
      <c r="Y10" s="964" t="s">
        <v>522</v>
      </c>
      <c r="Z10" s="857">
        <f>+AB43</f>
        <v>0</v>
      </c>
      <c r="AA10" s="1147">
        <f>ROUND((Z10*AA9),0-3)</f>
        <v>0</v>
      </c>
      <c r="AB10" s="1137">
        <f>ROUND(($J10*AB9),0-3)</f>
        <v>0</v>
      </c>
      <c r="AC10" s="1147">
        <f>ROUND((Z10*AC9),0-3)</f>
        <v>0</v>
      </c>
      <c r="AD10" s="1137">
        <f>Z10-AA10-AB10-AC10-AF10-AE10</f>
        <v>0</v>
      </c>
      <c r="AE10" s="855">
        <f>ROUND((Z10*AE9),0-3)</f>
        <v>0</v>
      </c>
      <c r="AF10" s="856">
        <f>ROUND((Z10*AF9),0-3)</f>
        <v>0</v>
      </c>
      <c r="AG10" s="316"/>
      <c r="AH10" s="316"/>
      <c r="AI10" s="316"/>
      <c r="AJ10" s="316"/>
      <c r="AK10" s="316"/>
      <c r="AL10" s="316"/>
      <c r="AM10" s="316"/>
      <c r="AN10" s="316"/>
      <c r="AO10" s="316"/>
      <c r="AP10" s="316"/>
      <c r="AQ10" s="316"/>
      <c r="AR10" s="316"/>
      <c r="AS10" s="316"/>
      <c r="AT10" s="316"/>
      <c r="AU10" s="316"/>
      <c r="AV10" s="316"/>
      <c r="AW10" s="316"/>
      <c r="AX10" s="316"/>
      <c r="AY10" s="316"/>
      <c r="AZ10" s="316"/>
      <c r="BA10" s="316"/>
      <c r="BB10" s="316"/>
      <c r="BC10" s="316"/>
      <c r="BD10" s="316"/>
      <c r="BE10" s="316"/>
      <c r="BF10" s="316"/>
      <c r="BG10" s="316"/>
      <c r="BH10" s="316"/>
      <c r="BI10" s="316"/>
      <c r="BJ10" s="316"/>
      <c r="BK10" s="316"/>
      <c r="BL10" s="316"/>
      <c r="BM10" s="316"/>
      <c r="BN10" s="316"/>
      <c r="BO10" s="316"/>
      <c r="BP10" s="316"/>
      <c r="BQ10" s="316"/>
      <c r="BR10" s="316"/>
      <c r="BS10" s="316"/>
      <c r="BT10" s="316"/>
      <c r="BU10" s="316"/>
      <c r="BV10" s="316"/>
      <c r="BW10" s="316"/>
      <c r="BX10" s="316"/>
      <c r="BY10" s="316"/>
      <c r="BZ10" s="316"/>
      <c r="CA10" s="316"/>
      <c r="CB10" s="316"/>
      <c r="CC10" s="316"/>
      <c r="CD10" s="316"/>
      <c r="CE10" s="316"/>
      <c r="CF10" s="316"/>
      <c r="CG10" s="316"/>
      <c r="CH10" s="316"/>
      <c r="CI10" s="316"/>
      <c r="CJ10" s="316"/>
    </row>
    <row r="11" spans="1:88" s="327" customFormat="1" ht="15.75">
      <c r="A11" s="965"/>
      <c r="B11" s="858"/>
      <c r="C11" s="859"/>
      <c r="D11" s="1138"/>
      <c r="E11" s="1148"/>
      <c r="F11" s="1138"/>
      <c r="G11" s="859"/>
      <c r="H11" s="860"/>
      <c r="I11" s="965"/>
      <c r="J11" s="861"/>
      <c r="K11" s="1148"/>
      <c r="L11" s="1138"/>
      <c r="M11" s="1148"/>
      <c r="N11" s="1138"/>
      <c r="O11" s="859"/>
      <c r="P11" s="860"/>
      <c r="Q11" s="965"/>
      <c r="R11" s="861"/>
      <c r="S11" s="1148"/>
      <c r="T11" s="1138"/>
      <c r="U11" s="1148"/>
      <c r="V11" s="1138"/>
      <c r="W11" s="859"/>
      <c r="X11" s="860"/>
      <c r="Y11" s="965"/>
      <c r="Z11" s="861"/>
      <c r="AA11" s="1148"/>
      <c r="AB11" s="1138"/>
      <c r="AC11" s="1148"/>
      <c r="AD11" s="1138"/>
      <c r="AE11" s="859"/>
      <c r="AF11" s="860"/>
      <c r="AG11" s="317"/>
      <c r="AH11" s="317"/>
      <c r="AI11" s="317"/>
      <c r="AJ11" s="317"/>
      <c r="AK11" s="317"/>
      <c r="AL11" s="317"/>
      <c r="AM11" s="317"/>
      <c r="AN11" s="317"/>
      <c r="AO11" s="317"/>
      <c r="AP11" s="317"/>
      <c r="AQ11" s="317"/>
      <c r="AR11" s="317"/>
      <c r="AS11" s="317"/>
      <c r="AT11" s="317"/>
      <c r="AU11" s="317"/>
      <c r="AV11" s="317"/>
      <c r="AW11" s="317"/>
      <c r="AX11" s="317"/>
      <c r="AY11" s="317"/>
      <c r="AZ11" s="317"/>
      <c r="BA11" s="317"/>
      <c r="BB11" s="317"/>
      <c r="BC11" s="317"/>
      <c r="BD11" s="317"/>
      <c r="BE11" s="317"/>
      <c r="BF11" s="317"/>
      <c r="BG11" s="317"/>
      <c r="BH11" s="317"/>
      <c r="BI11" s="317"/>
      <c r="BJ11" s="317"/>
      <c r="BK11" s="317"/>
      <c r="BL11" s="317"/>
      <c r="BM11" s="317"/>
      <c r="BN11" s="317"/>
      <c r="BO11" s="317"/>
      <c r="BP11" s="317"/>
      <c r="BQ11" s="317"/>
      <c r="BR11" s="317"/>
      <c r="BS11" s="317"/>
      <c r="BT11" s="317"/>
      <c r="BU11" s="317"/>
      <c r="BV11" s="317"/>
      <c r="BW11" s="317"/>
      <c r="BX11" s="317"/>
      <c r="BY11" s="317"/>
      <c r="BZ11" s="317"/>
      <c r="CA11" s="317"/>
      <c r="CB11" s="317"/>
      <c r="CC11" s="317"/>
      <c r="CD11" s="317"/>
      <c r="CE11" s="317"/>
      <c r="CF11" s="317"/>
      <c r="CG11" s="317"/>
      <c r="CH11" s="317"/>
      <c r="CI11" s="317"/>
      <c r="CJ11" s="317"/>
    </row>
    <row r="12" spans="1:88" ht="15">
      <c r="A12" s="965" t="s">
        <v>523</v>
      </c>
      <c r="B12" s="862">
        <f>D61</f>
        <v>0</v>
      </c>
      <c r="C12" s="859">
        <f>ROUND((B12*C9),0-3)</f>
        <v>0</v>
      </c>
      <c r="D12" s="1138">
        <f>ROUND(($B12*D9),-3)</f>
        <v>0</v>
      </c>
      <c r="E12" s="1148">
        <f>ROUND((B12*E9),0-3)</f>
        <v>0</v>
      </c>
      <c r="F12" s="1138">
        <f>B12-H12-G12-C12-D12-E12</f>
        <v>0</v>
      </c>
      <c r="G12" s="859">
        <f>ROUND((B12*G9),0-3)</f>
        <v>0</v>
      </c>
      <c r="H12" s="860">
        <f>ROUND((B12*H9),0-3)</f>
        <v>0</v>
      </c>
      <c r="I12" s="965" t="s">
        <v>523</v>
      </c>
      <c r="J12" s="863">
        <f>L61</f>
        <v>0</v>
      </c>
      <c r="K12" s="1148">
        <f>ROUND((J12*K9),0-3)</f>
        <v>0</v>
      </c>
      <c r="L12" s="1138">
        <f>ROUND(($J12*L9),0-3)</f>
        <v>0</v>
      </c>
      <c r="M12" s="1148">
        <f>ROUND((J12*M9),0-3)</f>
        <v>0</v>
      </c>
      <c r="N12" s="1138">
        <f>J12-K12-L12-M12-P12-O12</f>
        <v>0</v>
      </c>
      <c r="O12" s="859">
        <f>ROUND((J12*O9),0-3)</f>
        <v>0</v>
      </c>
      <c r="P12" s="860">
        <f>ROUND((J12*P9),0-3)</f>
        <v>0</v>
      </c>
      <c r="Q12" s="965" t="s">
        <v>523</v>
      </c>
      <c r="R12" s="863">
        <f>T61</f>
        <v>0</v>
      </c>
      <c r="S12" s="1148">
        <f>ROUND((R12*S9),0-3)</f>
        <v>0</v>
      </c>
      <c r="T12" s="1138">
        <f>ROUND(($J12*T9),0-3)</f>
        <v>0</v>
      </c>
      <c r="U12" s="1148">
        <f>ROUND((R12*U9),0-3)</f>
        <v>0</v>
      </c>
      <c r="V12" s="1138">
        <f>R12-S12-T12-U12-X12-W12</f>
        <v>0</v>
      </c>
      <c r="W12" s="859">
        <f>ROUND((R12*W9),0-3)</f>
        <v>0</v>
      </c>
      <c r="X12" s="860">
        <f>ROUND((R12*X9),0-3)</f>
        <v>0</v>
      </c>
      <c r="Y12" s="965" t="s">
        <v>523</v>
      </c>
      <c r="Z12" s="863">
        <f>AB61</f>
        <v>0</v>
      </c>
      <c r="AA12" s="1148">
        <f>ROUND((Z12*AA9),0-3)</f>
        <v>0</v>
      </c>
      <c r="AB12" s="1138">
        <f>ROUND(($J12*AB9),0-3)</f>
        <v>0</v>
      </c>
      <c r="AC12" s="1148">
        <f>ROUND((Z12*AC9),0-3)</f>
        <v>0</v>
      </c>
      <c r="AD12" s="1138">
        <f>Z12-AA12-AB12-AC12-AF12-AE12</f>
        <v>0</v>
      </c>
      <c r="AE12" s="859">
        <f>ROUND((Z12*AE9),0-3)</f>
        <v>0</v>
      </c>
      <c r="AF12" s="860">
        <f>ROUND((Z12*AF9),0-3)</f>
        <v>0</v>
      </c>
    </row>
    <row r="13" spans="1:88" ht="15.75">
      <c r="A13" s="970" t="s">
        <v>524</v>
      </c>
      <c r="B13" s="959"/>
      <c r="C13" s="960">
        <v>0.25</v>
      </c>
      <c r="D13" s="1139">
        <v>0.25</v>
      </c>
      <c r="E13" s="1149">
        <v>0.4</v>
      </c>
      <c r="F13" s="1139">
        <v>0.1</v>
      </c>
      <c r="G13" s="960"/>
      <c r="H13" s="961"/>
      <c r="I13" s="966" t="s">
        <v>524</v>
      </c>
      <c r="J13" s="959" t="s">
        <v>70</v>
      </c>
      <c r="K13" s="1149">
        <v>0.25</v>
      </c>
      <c r="L13" s="1139">
        <v>0.25</v>
      </c>
      <c r="M13" s="1149">
        <v>0.4</v>
      </c>
      <c r="N13" s="1139">
        <v>0.1</v>
      </c>
      <c r="O13" s="960"/>
      <c r="P13" s="961"/>
      <c r="Q13" s="966" t="s">
        <v>524</v>
      </c>
      <c r="R13" s="959" t="s">
        <v>70</v>
      </c>
      <c r="S13" s="1149">
        <v>0.25</v>
      </c>
      <c r="T13" s="1139">
        <v>0.25</v>
      </c>
      <c r="U13" s="1149">
        <v>0.4</v>
      </c>
      <c r="V13" s="1139">
        <v>0.1</v>
      </c>
      <c r="W13" s="960"/>
      <c r="X13" s="961"/>
      <c r="Y13" s="966" t="s">
        <v>524</v>
      </c>
      <c r="Z13" s="959" t="s">
        <v>70</v>
      </c>
      <c r="AA13" s="1149">
        <v>0.25</v>
      </c>
      <c r="AB13" s="1139">
        <v>0.25</v>
      </c>
      <c r="AC13" s="1149">
        <v>0.4</v>
      </c>
      <c r="AD13" s="1139">
        <v>0.1</v>
      </c>
      <c r="AE13" s="960"/>
      <c r="AF13" s="961"/>
    </row>
    <row r="14" spans="1:88" s="314" customFormat="1" ht="15">
      <c r="A14" s="967" t="s">
        <v>525</v>
      </c>
      <c r="B14" s="862">
        <f>+F61</f>
        <v>0.01</v>
      </c>
      <c r="C14" s="864">
        <f>+C13*$B$14</f>
        <v>2.5000000000000001E-3</v>
      </c>
      <c r="D14" s="1140">
        <f>+D13*$B$14</f>
        <v>2.5000000000000001E-3</v>
      </c>
      <c r="E14" s="1150">
        <f>+E13*$B$14</f>
        <v>4.0000000000000001E-3</v>
      </c>
      <c r="F14" s="1140">
        <f>+F13*$B$14</f>
        <v>1E-3</v>
      </c>
      <c r="G14" s="864"/>
      <c r="H14" s="864"/>
      <c r="I14" s="967" t="s">
        <v>525</v>
      </c>
      <c r="J14" s="862">
        <f>+N61</f>
        <v>0.01</v>
      </c>
      <c r="K14" s="1150">
        <f>+K13*$J$14</f>
        <v>2.5000000000000001E-3</v>
      </c>
      <c r="L14" s="1140">
        <f>+L13*$J$14</f>
        <v>2.5000000000000001E-3</v>
      </c>
      <c r="M14" s="1150">
        <f>+M13*$J$14</f>
        <v>4.0000000000000001E-3</v>
      </c>
      <c r="N14" s="1140">
        <f>+N13*$J$14</f>
        <v>1E-3</v>
      </c>
      <c r="O14" s="864"/>
      <c r="P14" s="865"/>
      <c r="Q14" s="967" t="s">
        <v>525</v>
      </c>
      <c r="R14" s="862">
        <f>+V61</f>
        <v>0.01</v>
      </c>
      <c r="S14" s="1150">
        <f>+S13*$R$14</f>
        <v>2.5000000000000001E-3</v>
      </c>
      <c r="T14" s="1140">
        <f>+T13*$R$14</f>
        <v>2.5000000000000001E-3</v>
      </c>
      <c r="U14" s="1150">
        <f>+U13*$R$14</f>
        <v>4.0000000000000001E-3</v>
      </c>
      <c r="V14" s="1140">
        <f>+V13*$N$14</f>
        <v>1E-4</v>
      </c>
      <c r="W14" s="864"/>
      <c r="X14" s="865"/>
      <c r="Y14" s="967" t="s">
        <v>525</v>
      </c>
      <c r="Z14" s="862">
        <f>+AD61</f>
        <v>0.01</v>
      </c>
      <c r="AA14" s="1150">
        <f>+AA13*$Z$14</f>
        <v>2.5000000000000001E-3</v>
      </c>
      <c r="AB14" s="1140">
        <f>+AB13*$Z$14</f>
        <v>2.5000000000000001E-3</v>
      </c>
      <c r="AC14" s="1150">
        <f>+AC13*$Z$14</f>
        <v>4.0000000000000001E-3</v>
      </c>
      <c r="AD14" s="1140">
        <f>+AD13*$Z$14</f>
        <v>1E-3</v>
      </c>
      <c r="AE14" s="864"/>
      <c r="AF14" s="865"/>
      <c r="AG14" s="316"/>
      <c r="AH14" s="316"/>
      <c r="AI14" s="316"/>
      <c r="AJ14" s="316"/>
      <c r="AK14" s="316"/>
      <c r="AL14" s="316"/>
      <c r="AM14" s="316"/>
      <c r="AN14" s="316"/>
      <c r="AO14" s="316"/>
      <c r="AP14" s="316"/>
      <c r="AQ14" s="316"/>
      <c r="AR14" s="316"/>
      <c r="AS14" s="316"/>
      <c r="AT14" s="316"/>
      <c r="AU14" s="316"/>
      <c r="AV14" s="316"/>
      <c r="AW14" s="316"/>
      <c r="AX14" s="316"/>
      <c r="AY14" s="316"/>
      <c r="AZ14" s="316"/>
      <c r="BA14" s="316"/>
      <c r="BB14" s="316"/>
      <c r="BC14" s="316"/>
      <c r="BD14" s="316"/>
      <c r="BE14" s="316"/>
      <c r="BF14" s="316"/>
      <c r="BG14" s="316"/>
      <c r="BH14" s="316"/>
      <c r="BI14" s="316"/>
      <c r="BJ14" s="316"/>
      <c r="BK14" s="316"/>
      <c r="BL14" s="316"/>
      <c r="BM14" s="316"/>
      <c r="BN14" s="316"/>
      <c r="BO14" s="316"/>
      <c r="BP14" s="316"/>
      <c r="BQ14" s="316"/>
      <c r="BR14" s="316"/>
      <c r="BS14" s="316"/>
      <c r="BT14" s="316"/>
      <c r="BU14" s="316"/>
      <c r="BV14" s="316"/>
      <c r="BW14" s="316"/>
      <c r="BX14" s="316"/>
      <c r="BY14" s="316"/>
      <c r="BZ14" s="316"/>
      <c r="CA14" s="316"/>
      <c r="CB14" s="316"/>
      <c r="CC14" s="316"/>
      <c r="CD14" s="316"/>
      <c r="CE14" s="316"/>
      <c r="CF14" s="316"/>
      <c r="CG14" s="316"/>
      <c r="CH14" s="316"/>
      <c r="CI14" s="316"/>
      <c r="CJ14" s="316"/>
    </row>
    <row r="15" spans="1:88" s="327" customFormat="1" ht="15">
      <c r="A15" s="967"/>
      <c r="B15" s="862"/>
      <c r="C15" s="866"/>
      <c r="D15" s="1141"/>
      <c r="E15" s="1151"/>
      <c r="F15" s="1141"/>
      <c r="G15" s="868"/>
      <c r="H15" s="868"/>
      <c r="I15" s="967"/>
      <c r="J15" s="862"/>
      <c r="K15" s="1159"/>
      <c r="L15" s="1141"/>
      <c r="M15" s="1151"/>
      <c r="N15" s="1141"/>
      <c r="O15" s="867"/>
      <c r="P15" s="869"/>
      <c r="Q15" s="967"/>
      <c r="R15" s="862"/>
      <c r="S15" s="1159"/>
      <c r="T15" s="1141"/>
      <c r="U15" s="1151"/>
      <c r="V15" s="1141"/>
      <c r="W15" s="867"/>
      <c r="X15" s="869"/>
      <c r="Y15" s="967"/>
      <c r="Z15" s="862"/>
      <c r="AA15" s="1159"/>
      <c r="AB15" s="1141"/>
      <c r="AC15" s="1151"/>
      <c r="AD15" s="1141"/>
      <c r="AE15" s="867"/>
      <c r="AF15" s="869"/>
      <c r="AG15" s="317"/>
      <c r="AH15" s="317"/>
      <c r="AI15" s="317"/>
      <c r="AJ15" s="317"/>
      <c r="AK15" s="317"/>
      <c r="AL15" s="317"/>
      <c r="AM15" s="317"/>
      <c r="AN15" s="317"/>
      <c r="AO15" s="317"/>
      <c r="AP15" s="317"/>
      <c r="AQ15" s="317"/>
      <c r="AR15" s="317"/>
      <c r="AS15" s="317"/>
      <c r="AT15" s="317"/>
      <c r="AU15" s="317"/>
      <c r="AV15" s="317"/>
      <c r="AW15" s="317"/>
      <c r="AX15" s="317"/>
      <c r="AY15" s="317"/>
      <c r="AZ15" s="317"/>
      <c r="BA15" s="317"/>
      <c r="BB15" s="317"/>
      <c r="BC15" s="317"/>
      <c r="BD15" s="317"/>
      <c r="BE15" s="317"/>
      <c r="BF15" s="317"/>
      <c r="BG15" s="317"/>
      <c r="BH15" s="317"/>
      <c r="BI15" s="317"/>
      <c r="BJ15" s="317"/>
      <c r="BK15" s="317"/>
      <c r="BL15" s="317"/>
      <c r="BM15" s="317"/>
      <c r="BN15" s="317"/>
      <c r="BO15" s="317"/>
      <c r="BP15" s="317"/>
      <c r="BQ15" s="317"/>
      <c r="BR15" s="317"/>
      <c r="BS15" s="317"/>
      <c r="BT15" s="317"/>
      <c r="BU15" s="317"/>
      <c r="BV15" s="317"/>
      <c r="BW15" s="317"/>
      <c r="BX15" s="317"/>
      <c r="BY15" s="317"/>
      <c r="BZ15" s="317"/>
      <c r="CA15" s="317"/>
      <c r="CB15" s="317"/>
      <c r="CC15" s="317"/>
      <c r="CD15" s="317"/>
      <c r="CE15" s="317"/>
      <c r="CF15" s="317"/>
      <c r="CG15" s="317"/>
      <c r="CH15" s="317"/>
      <c r="CI15" s="317"/>
      <c r="CJ15" s="317"/>
    </row>
    <row r="16" spans="1:88" ht="15.75">
      <c r="A16" s="968" t="s">
        <v>526</v>
      </c>
      <c r="B16" s="854">
        <f>B14+B15</f>
        <v>0.01</v>
      </c>
      <c r="C16" s="870"/>
      <c r="D16" s="1142"/>
      <c r="E16" s="1152"/>
      <c r="F16" s="1142"/>
      <c r="G16" s="870"/>
      <c r="H16" s="871"/>
      <c r="I16" s="968" t="s">
        <v>526</v>
      </c>
      <c r="J16" s="854">
        <f>J14+J15</f>
        <v>0.01</v>
      </c>
      <c r="K16" s="1152"/>
      <c r="L16" s="1142"/>
      <c r="M16" s="1152"/>
      <c r="N16" s="1142"/>
      <c r="O16" s="870"/>
      <c r="P16" s="871"/>
      <c r="Q16" s="968" t="s">
        <v>526</v>
      </c>
      <c r="R16" s="854">
        <f>R14+R15</f>
        <v>0.01</v>
      </c>
      <c r="S16" s="1152"/>
      <c r="T16" s="1142"/>
      <c r="U16" s="1152"/>
      <c r="V16" s="1142"/>
      <c r="W16" s="870"/>
      <c r="X16" s="871"/>
      <c r="Y16" s="968" t="s">
        <v>526</v>
      </c>
      <c r="Z16" s="854">
        <f>Z14+Z15</f>
        <v>0.01</v>
      </c>
      <c r="AA16" s="1152"/>
      <c r="AB16" s="1142"/>
      <c r="AC16" s="1152"/>
      <c r="AD16" s="1142"/>
      <c r="AE16" s="870"/>
      <c r="AF16" s="871"/>
    </row>
    <row r="17" spans="1:88" ht="15.75">
      <c r="A17" s="970" t="s">
        <v>527</v>
      </c>
      <c r="B17" s="959"/>
      <c r="C17" s="960"/>
      <c r="D17" s="1139"/>
      <c r="E17" s="1149"/>
      <c r="F17" s="1139"/>
      <c r="G17" s="960"/>
      <c r="H17" s="961"/>
      <c r="I17" s="966" t="s">
        <v>528</v>
      </c>
      <c r="J17" s="959" t="s">
        <v>70</v>
      </c>
      <c r="K17" s="1149"/>
      <c r="L17" s="1139"/>
      <c r="M17" s="1149"/>
      <c r="N17" s="1139"/>
      <c r="O17" s="962"/>
      <c r="P17" s="1094"/>
      <c r="Q17" s="966" t="s">
        <v>528</v>
      </c>
      <c r="R17" s="959" t="s">
        <v>70</v>
      </c>
      <c r="S17" s="1149"/>
      <c r="T17" s="1139"/>
      <c r="U17" s="1149"/>
      <c r="V17" s="1139"/>
      <c r="W17" s="962"/>
      <c r="X17" s="1094"/>
      <c r="Y17" s="966" t="s">
        <v>528</v>
      </c>
      <c r="Z17" s="959" t="s">
        <v>70</v>
      </c>
      <c r="AA17" s="1149"/>
      <c r="AB17" s="1139"/>
      <c r="AC17" s="1149"/>
      <c r="AD17" s="1139"/>
      <c r="AE17" s="962"/>
      <c r="AF17" s="1094"/>
    </row>
    <row r="18" spans="1:88" ht="18.95" customHeight="1">
      <c r="A18" s="965" t="s">
        <v>529</v>
      </c>
      <c r="B18" s="862">
        <f>+D79</f>
        <v>0</v>
      </c>
      <c r="C18" s="872">
        <f>ROUND((B18*C9),0-3)</f>
        <v>0</v>
      </c>
      <c r="D18" s="1138">
        <f>ROUND((B18*D9),-3)</f>
        <v>0</v>
      </c>
      <c r="E18" s="1148">
        <f>ROUND((B18*E9),0-3)</f>
        <v>0</v>
      </c>
      <c r="F18" s="1138">
        <f>B18-H18-G18-C18-D18-E18</f>
        <v>0</v>
      </c>
      <c r="G18" s="859">
        <f>ROUND((B18*G9),0-3)</f>
        <v>0</v>
      </c>
      <c r="H18" s="860">
        <f>ROUND((B18*H9),0-3)</f>
        <v>0</v>
      </c>
      <c r="I18" s="965" t="s">
        <v>529</v>
      </c>
      <c r="J18" s="862">
        <f>+L79</f>
        <v>0</v>
      </c>
      <c r="K18" s="1150">
        <f t="shared" ref="K18:P18" si="0">+K9*$J$18</f>
        <v>0</v>
      </c>
      <c r="L18" s="1140">
        <f t="shared" si="0"/>
        <v>0</v>
      </c>
      <c r="M18" s="1150">
        <f t="shared" si="0"/>
        <v>0</v>
      </c>
      <c r="N18" s="1140">
        <f t="shared" si="0"/>
        <v>0</v>
      </c>
      <c r="O18" s="864">
        <f t="shared" si="0"/>
        <v>0</v>
      </c>
      <c r="P18" s="865">
        <f t="shared" si="0"/>
        <v>0</v>
      </c>
      <c r="Q18" s="965" t="s">
        <v>529</v>
      </c>
      <c r="R18" s="862">
        <f>+T79</f>
        <v>0</v>
      </c>
      <c r="S18" s="1150">
        <f t="shared" ref="S18:X18" si="1">+S9*$R$18</f>
        <v>0</v>
      </c>
      <c r="T18" s="1140">
        <f t="shared" si="1"/>
        <v>0</v>
      </c>
      <c r="U18" s="1150">
        <f t="shared" si="1"/>
        <v>0</v>
      </c>
      <c r="V18" s="1140">
        <f t="shared" si="1"/>
        <v>0</v>
      </c>
      <c r="W18" s="864">
        <f t="shared" si="1"/>
        <v>0</v>
      </c>
      <c r="X18" s="865">
        <f t="shared" si="1"/>
        <v>0</v>
      </c>
      <c r="Y18" s="965" t="s">
        <v>529</v>
      </c>
      <c r="Z18" s="862">
        <f>+AB79</f>
        <v>0</v>
      </c>
      <c r="AA18" s="1150">
        <f t="shared" ref="AA18:AF18" si="2">+AA9*$Z$18</f>
        <v>0</v>
      </c>
      <c r="AB18" s="1140">
        <f t="shared" si="2"/>
        <v>0</v>
      </c>
      <c r="AC18" s="1150">
        <f t="shared" si="2"/>
        <v>0</v>
      </c>
      <c r="AD18" s="1140">
        <f t="shared" si="2"/>
        <v>0</v>
      </c>
      <c r="AE18" s="864">
        <f t="shared" si="2"/>
        <v>0</v>
      </c>
      <c r="AF18" s="865">
        <f t="shared" si="2"/>
        <v>0</v>
      </c>
    </row>
    <row r="19" spans="1:88" s="314" customFormat="1" ht="15.6" customHeight="1">
      <c r="A19" s="967" t="s">
        <v>525</v>
      </c>
      <c r="B19" s="862">
        <f>+F79</f>
        <v>0.01</v>
      </c>
      <c r="C19" s="864">
        <f>+C13*B19</f>
        <v>2.5000000000000001E-3</v>
      </c>
      <c r="D19" s="1140">
        <f>+D13*B19</f>
        <v>2.5000000000000001E-3</v>
      </c>
      <c r="E19" s="1150">
        <f>+E13*B19</f>
        <v>4.0000000000000001E-3</v>
      </c>
      <c r="F19" s="1140">
        <f>+F13*B19</f>
        <v>1E-3</v>
      </c>
      <c r="G19" s="859"/>
      <c r="H19" s="860"/>
      <c r="I19" s="967" t="s">
        <v>525</v>
      </c>
      <c r="J19" s="862">
        <f>+N79</f>
        <v>0.01</v>
      </c>
      <c r="K19" s="1150">
        <f>+K13*J19</f>
        <v>2.5000000000000001E-3</v>
      </c>
      <c r="L19" s="1140">
        <f>+L13*J19</f>
        <v>2.5000000000000001E-3</v>
      </c>
      <c r="M19" s="1150">
        <f>+M13*J19</f>
        <v>4.0000000000000001E-3</v>
      </c>
      <c r="N19" s="1140">
        <f>+N13*J19</f>
        <v>1E-3</v>
      </c>
      <c r="O19" s="859"/>
      <c r="P19" s="860"/>
      <c r="Q19" s="967" t="s">
        <v>525</v>
      </c>
      <c r="R19" s="862">
        <f>+V79</f>
        <v>0.01</v>
      </c>
      <c r="S19" s="1150">
        <f>+S13*R19</f>
        <v>2.5000000000000001E-3</v>
      </c>
      <c r="T19" s="1140">
        <f>+T13*R19</f>
        <v>2.5000000000000001E-3</v>
      </c>
      <c r="U19" s="1150">
        <f>+U13*R19</f>
        <v>4.0000000000000001E-3</v>
      </c>
      <c r="V19" s="1140">
        <f>+V13*R19</f>
        <v>1E-3</v>
      </c>
      <c r="W19" s="859"/>
      <c r="X19" s="860"/>
      <c r="Y19" s="967" t="s">
        <v>525</v>
      </c>
      <c r="Z19" s="862">
        <f>+AD79</f>
        <v>0.01</v>
      </c>
      <c r="AA19" s="1150">
        <f>+AA13*Z19</f>
        <v>2.5000000000000001E-3</v>
      </c>
      <c r="AB19" s="1140">
        <f>+AB13*Z19</f>
        <v>2.5000000000000001E-3</v>
      </c>
      <c r="AC19" s="1150">
        <f>+AC13*Z19</f>
        <v>4.0000000000000001E-3</v>
      </c>
      <c r="AD19" s="1140">
        <f>+AD13*Z19</f>
        <v>1E-3</v>
      </c>
      <c r="AE19" s="859"/>
      <c r="AF19" s="860"/>
      <c r="AG19" s="316"/>
      <c r="AH19" s="316"/>
      <c r="AI19" s="316"/>
      <c r="AJ19" s="316"/>
      <c r="AK19" s="316"/>
      <c r="AL19" s="316"/>
      <c r="AM19" s="316"/>
      <c r="AN19" s="316"/>
      <c r="AO19" s="316"/>
      <c r="AP19" s="316"/>
      <c r="AQ19" s="316"/>
      <c r="AR19" s="316"/>
      <c r="AS19" s="316"/>
      <c r="AT19" s="316"/>
      <c r="AU19" s="316"/>
      <c r="AV19" s="316"/>
      <c r="AW19" s="316"/>
      <c r="AX19" s="316"/>
      <c r="AY19" s="316"/>
      <c r="AZ19" s="316"/>
      <c r="BA19" s="316"/>
      <c r="BB19" s="316"/>
      <c r="BC19" s="316"/>
      <c r="BD19" s="316"/>
      <c r="BE19" s="316"/>
      <c r="BF19" s="316"/>
      <c r="BG19" s="316"/>
      <c r="BH19" s="316"/>
      <c r="BI19" s="316"/>
      <c r="BJ19" s="316"/>
      <c r="BK19" s="316"/>
      <c r="BL19" s="316"/>
      <c r="BM19" s="316"/>
      <c r="BN19" s="316"/>
      <c r="BO19" s="316"/>
      <c r="BP19" s="316"/>
      <c r="BQ19" s="316"/>
      <c r="BR19" s="316"/>
      <c r="BS19" s="316"/>
      <c r="BT19" s="316"/>
      <c r="BU19" s="316"/>
      <c r="BV19" s="316"/>
      <c r="BW19" s="316"/>
      <c r="BX19" s="316"/>
      <c r="BY19" s="316"/>
      <c r="BZ19" s="316"/>
      <c r="CA19" s="316"/>
      <c r="CB19" s="316"/>
      <c r="CC19" s="316"/>
      <c r="CD19" s="316"/>
      <c r="CE19" s="316"/>
      <c r="CF19" s="316"/>
      <c r="CG19" s="316"/>
      <c r="CH19" s="316"/>
      <c r="CI19" s="316"/>
      <c r="CJ19" s="316"/>
    </row>
    <row r="20" spans="1:88" ht="15">
      <c r="A20" s="967"/>
      <c r="B20" s="862"/>
      <c r="C20" s="866"/>
      <c r="D20" s="1141"/>
      <c r="E20" s="1151"/>
      <c r="F20" s="1141"/>
      <c r="G20" s="868"/>
      <c r="H20" s="873"/>
      <c r="I20" s="967"/>
      <c r="J20" s="862"/>
      <c r="K20" s="1159"/>
      <c r="L20" s="1141"/>
      <c r="M20" s="1151"/>
      <c r="N20" s="1141"/>
      <c r="O20" s="868"/>
      <c r="P20" s="873"/>
      <c r="Q20" s="967"/>
      <c r="R20" s="862"/>
      <c r="S20" s="1159"/>
      <c r="T20" s="1141"/>
      <c r="U20" s="1151"/>
      <c r="V20" s="1141"/>
      <c r="W20" s="868"/>
      <c r="X20" s="873"/>
      <c r="Y20" s="967"/>
      <c r="Z20" s="862"/>
      <c r="AA20" s="1159"/>
      <c r="AB20" s="1141"/>
      <c r="AC20" s="1151"/>
      <c r="AD20" s="1141"/>
      <c r="AE20" s="868"/>
      <c r="AF20" s="873"/>
    </row>
    <row r="21" spans="1:88" ht="16.5" thickBot="1">
      <c r="A21" s="969" t="s">
        <v>530</v>
      </c>
      <c r="B21" s="874">
        <f>SUM(B18:B20)</f>
        <v>0.01</v>
      </c>
      <c r="C21" s="875"/>
      <c r="D21" s="1143"/>
      <c r="E21" s="1153"/>
      <c r="F21" s="1143"/>
      <c r="G21" s="875"/>
      <c r="H21" s="876"/>
      <c r="I21" s="969" t="s">
        <v>530</v>
      </c>
      <c r="J21" s="874">
        <f>SUM(J18:J20)</f>
        <v>0.01</v>
      </c>
      <c r="K21" s="1153"/>
      <c r="L21" s="1143"/>
      <c r="M21" s="1153"/>
      <c r="N21" s="1143"/>
      <c r="O21" s="875"/>
      <c r="P21" s="876"/>
      <c r="Q21" s="969" t="s">
        <v>530</v>
      </c>
      <c r="R21" s="874">
        <f>SUM(R18:R20)</f>
        <v>0.01</v>
      </c>
      <c r="S21" s="1153"/>
      <c r="T21" s="1143"/>
      <c r="U21" s="1153"/>
      <c r="V21" s="1143"/>
      <c r="W21" s="875"/>
      <c r="X21" s="876"/>
      <c r="Y21" s="969" t="s">
        <v>530</v>
      </c>
      <c r="Z21" s="874">
        <f>SUM(Z18:Z20)</f>
        <v>0.01</v>
      </c>
      <c r="AA21" s="1153"/>
      <c r="AB21" s="1143"/>
      <c r="AC21" s="1153"/>
      <c r="AD21" s="1143"/>
      <c r="AE21" s="875"/>
      <c r="AF21" s="876"/>
    </row>
    <row r="22" spans="1:88" ht="15.75">
      <c r="A22" s="970" t="s">
        <v>531</v>
      </c>
      <c r="B22" s="959"/>
      <c r="C22" s="1007" t="s">
        <v>532</v>
      </c>
      <c r="D22" s="1139"/>
      <c r="E22" s="1154" t="s">
        <v>533</v>
      </c>
      <c r="F22" s="1155"/>
      <c r="G22" s="960"/>
      <c r="H22" s="961"/>
      <c r="I22" s="966" t="s">
        <v>531</v>
      </c>
      <c r="J22" s="959"/>
      <c r="K22" s="1154" t="s">
        <v>532</v>
      </c>
      <c r="L22" s="1139"/>
      <c r="M22" s="1154" t="s">
        <v>533</v>
      </c>
      <c r="N22" s="1139"/>
      <c r="O22" s="962"/>
      <c r="P22" s="1094"/>
      <c r="Q22" s="966" t="s">
        <v>531</v>
      </c>
      <c r="R22" s="959"/>
      <c r="S22" s="1154" t="s">
        <v>532</v>
      </c>
      <c r="T22" s="1139"/>
      <c r="U22" s="1154" t="s">
        <v>533</v>
      </c>
      <c r="V22" s="1139"/>
      <c r="W22" s="962"/>
      <c r="X22" s="1094"/>
      <c r="Y22" s="966" t="s">
        <v>531</v>
      </c>
      <c r="Z22" s="959"/>
      <c r="AA22" s="1154" t="s">
        <v>532</v>
      </c>
      <c r="AB22" s="1139"/>
      <c r="AC22" s="1154" t="s">
        <v>533</v>
      </c>
      <c r="AD22" s="1139"/>
      <c r="AE22" s="962"/>
      <c r="AF22" s="1094"/>
    </row>
    <row r="23" spans="1:88" ht="15.75">
      <c r="A23" s="970"/>
      <c r="B23" s="959"/>
      <c r="C23" s="960">
        <v>0.6</v>
      </c>
      <c r="D23" s="1139"/>
      <c r="E23" s="1149">
        <v>0.4</v>
      </c>
      <c r="F23" s="1139"/>
      <c r="G23" s="960"/>
      <c r="H23" s="961"/>
      <c r="I23" s="966"/>
      <c r="J23" s="959"/>
      <c r="K23" s="1149">
        <v>0.6</v>
      </c>
      <c r="L23" s="1139"/>
      <c r="M23" s="1149">
        <v>0.4</v>
      </c>
      <c r="N23" s="1139"/>
      <c r="O23" s="962"/>
      <c r="P23" s="1094"/>
      <c r="Q23" s="966"/>
      <c r="R23" s="959"/>
      <c r="S23" s="1149">
        <v>0.6</v>
      </c>
      <c r="T23" s="1139"/>
      <c r="U23" s="1149">
        <v>0.4</v>
      </c>
      <c r="V23" s="1139"/>
      <c r="W23" s="962"/>
      <c r="X23" s="1094"/>
      <c r="Y23" s="966"/>
      <c r="Z23" s="959"/>
      <c r="AA23" s="1149">
        <v>0.6</v>
      </c>
      <c r="AB23" s="1139"/>
      <c r="AC23" s="1149">
        <v>0.4</v>
      </c>
      <c r="AD23" s="1139"/>
      <c r="AE23" s="962"/>
      <c r="AF23" s="1094"/>
    </row>
    <row r="24" spans="1:88" ht="18.95" customHeight="1">
      <c r="A24" s="965" t="s">
        <v>534</v>
      </c>
      <c r="B24" s="862">
        <f>+F97</f>
        <v>7.0000000000000007E-2</v>
      </c>
      <c r="C24" s="872">
        <f>ROUND(($B24*C$23),0-3)</f>
        <v>0</v>
      </c>
      <c r="D24" s="1144"/>
      <c r="E24" s="1156">
        <f>ROUND(($B24*E$23),0-3)</f>
        <v>0</v>
      </c>
      <c r="F24" s="1138"/>
      <c r="G24" s="859"/>
      <c r="H24" s="860"/>
      <c r="I24" s="965" t="s">
        <v>534</v>
      </c>
      <c r="J24" s="862">
        <f>+N97</f>
        <v>7.0000000000000007E-2</v>
      </c>
      <c r="K24" s="1156">
        <f>ROUND(($J24*K$23),0-3)</f>
        <v>0</v>
      </c>
      <c r="L24" s="1144"/>
      <c r="M24" s="1156">
        <f>ROUND(($J24*M$23),0-3)</f>
        <v>0</v>
      </c>
      <c r="N24" s="1140"/>
      <c r="O24" s="864"/>
      <c r="P24" s="865"/>
      <c r="Q24" s="965" t="s">
        <v>534</v>
      </c>
      <c r="R24" s="862">
        <f>+V97</f>
        <v>7.0000000000000007E-2</v>
      </c>
      <c r="S24" s="1156">
        <f>ROUND(($R24*S$23),0-3)</f>
        <v>0</v>
      </c>
      <c r="T24" s="1144"/>
      <c r="U24" s="1156">
        <f>ROUND(($R24*U$23),0-3)</f>
        <v>0</v>
      </c>
      <c r="V24" s="1140"/>
      <c r="W24" s="864"/>
      <c r="X24" s="865"/>
      <c r="Y24" s="965" t="s">
        <v>534</v>
      </c>
      <c r="Z24" s="862">
        <f>+AD97</f>
        <v>7.0000000000000007E-2</v>
      </c>
      <c r="AA24" s="1156">
        <f>ROUND(($Z24*AA$23),0-3)</f>
        <v>0</v>
      </c>
      <c r="AB24" s="1144"/>
      <c r="AC24" s="1156">
        <f>ROUND(($Z24*AC$23),0-3)</f>
        <v>0</v>
      </c>
      <c r="AD24" s="1140"/>
      <c r="AE24" s="864"/>
      <c r="AF24" s="865"/>
    </row>
    <row r="25" spans="1:88" s="314" customFormat="1" ht="15.6" customHeight="1">
      <c r="A25" s="967" t="s">
        <v>535</v>
      </c>
      <c r="B25" s="862">
        <f>+G97</f>
        <v>1.4999999999999999E-2</v>
      </c>
      <c r="C25" s="872">
        <f>ROUND(($B25*C$23),0-3)</f>
        <v>0</v>
      </c>
      <c r="D25" s="1144"/>
      <c r="E25" s="1156">
        <f>ROUND(($B25*E$23),0-3)</f>
        <v>0</v>
      </c>
      <c r="F25" s="1140"/>
      <c r="G25" s="859"/>
      <c r="H25" s="860"/>
      <c r="I25" s="967" t="s">
        <v>535</v>
      </c>
      <c r="J25" s="862">
        <f>+O97</f>
        <v>1.4999999999999999E-2</v>
      </c>
      <c r="K25" s="1156">
        <f>ROUND(($J25*K$23),0-3)</f>
        <v>0</v>
      </c>
      <c r="L25" s="1144"/>
      <c r="M25" s="1156">
        <f>ROUND(($J25*M$23),0-3)</f>
        <v>0</v>
      </c>
      <c r="N25" s="1140"/>
      <c r="O25" s="859"/>
      <c r="P25" s="860"/>
      <c r="Q25" s="967" t="s">
        <v>535</v>
      </c>
      <c r="R25" s="862">
        <f>+W97</f>
        <v>1.4999999999999999E-2</v>
      </c>
      <c r="S25" s="1156">
        <f>ROUND(($R25*S$23),0-3)</f>
        <v>0</v>
      </c>
      <c r="T25" s="1144"/>
      <c r="U25" s="1156">
        <f>ROUND(($R25*U$23),0-3)</f>
        <v>0</v>
      </c>
      <c r="V25" s="1140"/>
      <c r="W25" s="859"/>
      <c r="X25" s="860"/>
      <c r="Y25" s="967" t="s">
        <v>535</v>
      </c>
      <c r="Z25" s="862">
        <f>+AE97</f>
        <v>1.4999999999999999E-2</v>
      </c>
      <c r="AA25" s="1156">
        <f>ROUND(($Z25*AA$23),0-3)</f>
        <v>0</v>
      </c>
      <c r="AB25" s="1144"/>
      <c r="AC25" s="1156">
        <f>ROUND(($Z25*AC$23),0-3)</f>
        <v>0</v>
      </c>
      <c r="AD25" s="1140"/>
      <c r="AE25" s="859"/>
      <c r="AF25" s="860"/>
      <c r="AG25" s="316"/>
      <c r="AH25" s="316"/>
      <c r="AI25" s="316"/>
      <c r="AJ25" s="316"/>
      <c r="AK25" s="316"/>
      <c r="AL25" s="316"/>
      <c r="AM25" s="316"/>
      <c r="AN25" s="316"/>
      <c r="AO25" s="316"/>
      <c r="AP25" s="316"/>
      <c r="AQ25" s="316"/>
      <c r="AR25" s="316"/>
      <c r="AS25" s="316"/>
      <c r="AT25" s="316"/>
      <c r="AU25" s="316"/>
      <c r="AV25" s="316"/>
      <c r="AW25" s="316"/>
      <c r="AX25" s="316"/>
      <c r="AY25" s="316"/>
      <c r="AZ25" s="316"/>
      <c r="BA25" s="316"/>
      <c r="BB25" s="316"/>
      <c r="BC25" s="316"/>
      <c r="BD25" s="316"/>
      <c r="BE25" s="316"/>
      <c r="BF25" s="316"/>
      <c r="BG25" s="316"/>
      <c r="BH25" s="316"/>
      <c r="BI25" s="316"/>
      <c r="BJ25" s="316"/>
      <c r="BK25" s="316"/>
      <c r="BL25" s="316"/>
      <c r="BM25" s="316"/>
      <c r="BN25" s="316"/>
      <c r="BO25" s="316"/>
      <c r="BP25" s="316"/>
      <c r="BQ25" s="316"/>
      <c r="BR25" s="316"/>
      <c r="BS25" s="316"/>
      <c r="BT25" s="316"/>
      <c r="BU25" s="316"/>
      <c r="BV25" s="316"/>
      <c r="BW25" s="316"/>
      <c r="BX25" s="316"/>
      <c r="BY25" s="316"/>
      <c r="BZ25" s="316"/>
      <c r="CA25" s="316"/>
      <c r="CB25" s="316"/>
      <c r="CC25" s="316"/>
      <c r="CD25" s="316"/>
      <c r="CE25" s="316"/>
      <c r="CF25" s="316"/>
      <c r="CG25" s="316"/>
      <c r="CH25" s="316"/>
      <c r="CI25" s="316"/>
      <c r="CJ25" s="316"/>
    </row>
    <row r="26" spans="1:88" ht="15">
      <c r="A26" s="967"/>
      <c r="B26" s="862"/>
      <c r="C26" s="866"/>
      <c r="D26" s="1141"/>
      <c r="E26" s="1151"/>
      <c r="F26" s="1141"/>
      <c r="G26" s="868"/>
      <c r="H26" s="873"/>
      <c r="I26" s="967"/>
      <c r="J26" s="862"/>
      <c r="K26" s="1159"/>
      <c r="L26" s="1141"/>
      <c r="M26" s="1151"/>
      <c r="N26" s="1141"/>
      <c r="O26" s="868"/>
      <c r="P26" s="873"/>
      <c r="Q26" s="967"/>
      <c r="R26" s="862"/>
      <c r="S26" s="1159"/>
      <c r="T26" s="1141"/>
      <c r="U26" s="1151"/>
      <c r="V26" s="1141"/>
      <c r="W26" s="868"/>
      <c r="X26" s="873"/>
      <c r="Y26" s="967"/>
      <c r="Z26" s="862"/>
      <c r="AA26" s="1159"/>
      <c r="AB26" s="1141"/>
      <c r="AC26" s="1151"/>
      <c r="AD26" s="1141"/>
      <c r="AE26" s="868"/>
      <c r="AF26" s="873"/>
    </row>
    <row r="27" spans="1:88" ht="16.5" thickBot="1">
      <c r="A27" s="969" t="s">
        <v>530</v>
      </c>
      <c r="B27" s="874">
        <f>SUM(B24:B26)</f>
        <v>8.5000000000000006E-2</v>
      </c>
      <c r="C27" s="875"/>
      <c r="D27" s="1143"/>
      <c r="E27" s="1153"/>
      <c r="F27" s="1143"/>
      <c r="G27" s="875"/>
      <c r="H27" s="876"/>
      <c r="I27" s="969" t="s">
        <v>530</v>
      </c>
      <c r="J27" s="874">
        <f>SUM(J24:J26)</f>
        <v>8.5000000000000006E-2</v>
      </c>
      <c r="K27" s="1153"/>
      <c r="L27" s="1143"/>
      <c r="M27" s="1153"/>
      <c r="N27" s="1143"/>
      <c r="O27" s="875"/>
      <c r="P27" s="876"/>
      <c r="Q27" s="969" t="s">
        <v>530</v>
      </c>
      <c r="R27" s="874">
        <f>SUM(R24:R26)</f>
        <v>8.5000000000000006E-2</v>
      </c>
      <c r="S27" s="1153"/>
      <c r="T27" s="1143"/>
      <c r="U27" s="1153"/>
      <c r="V27" s="1143"/>
      <c r="W27" s="875"/>
      <c r="X27" s="876"/>
      <c r="Y27" s="969" t="s">
        <v>530</v>
      </c>
      <c r="Z27" s="874">
        <f>SUM(Z24:Z26)</f>
        <v>8.5000000000000006E-2</v>
      </c>
      <c r="AA27" s="1153"/>
      <c r="AB27" s="1143"/>
      <c r="AC27" s="1153"/>
      <c r="AD27" s="1143"/>
      <c r="AE27" s="875"/>
      <c r="AF27" s="876"/>
    </row>
    <row r="28" spans="1:88" ht="15">
      <c r="B28" s="829"/>
      <c r="C28" s="829"/>
      <c r="D28" s="829"/>
      <c r="E28" s="829"/>
      <c r="F28" s="829"/>
      <c r="G28" s="829"/>
      <c r="H28" s="829"/>
      <c r="I28" s="829"/>
      <c r="J28" s="829"/>
      <c r="K28" s="829"/>
      <c r="L28" s="829"/>
      <c r="M28" s="829"/>
      <c r="N28" s="829"/>
      <c r="O28" s="829"/>
      <c r="P28" s="829"/>
      <c r="Q28" s="829"/>
      <c r="R28" s="829"/>
      <c r="S28" s="829"/>
      <c r="T28" s="829"/>
      <c r="U28" s="829"/>
      <c r="V28" s="829"/>
      <c r="W28" s="829"/>
      <c r="X28" s="829"/>
      <c r="Y28" s="829"/>
      <c r="Z28" s="829"/>
      <c r="AA28" s="829"/>
      <c r="AB28" s="829"/>
      <c r="AC28" s="829"/>
      <c r="AD28" s="829"/>
      <c r="AE28" s="829"/>
      <c r="AF28" s="829"/>
    </row>
    <row r="29" spans="1:88" ht="17.100000000000001" customHeight="1">
      <c r="B29" s="829"/>
      <c r="C29" s="829"/>
      <c r="D29" s="829"/>
      <c r="E29" s="829"/>
      <c r="F29" s="829"/>
      <c r="G29" s="829"/>
      <c r="H29" s="829"/>
      <c r="I29" s="829"/>
      <c r="J29" s="829"/>
      <c r="K29" s="829"/>
      <c r="L29" s="829"/>
      <c r="M29" s="829"/>
      <c r="N29" s="829"/>
      <c r="O29" s="829"/>
      <c r="P29" s="829"/>
      <c r="Q29" s="829"/>
      <c r="R29" s="829"/>
      <c r="S29" s="829"/>
      <c r="T29" s="829"/>
      <c r="U29" s="829"/>
      <c r="V29" s="829"/>
      <c r="W29" s="829"/>
      <c r="X29" s="829"/>
      <c r="Y29" s="829"/>
      <c r="Z29" s="829"/>
      <c r="AA29" s="829"/>
      <c r="AB29" s="829"/>
      <c r="AC29" s="829"/>
      <c r="AD29" s="829"/>
      <c r="AE29" s="829"/>
      <c r="AF29" s="829"/>
    </row>
    <row r="30" spans="1:88" ht="16.5" customHeight="1" thickBot="1">
      <c r="B30" s="829"/>
      <c r="C30" s="829"/>
      <c r="D30" s="829"/>
      <c r="E30" s="829"/>
      <c r="F30" s="829"/>
      <c r="G30" s="829"/>
      <c r="H30" s="829"/>
      <c r="I30" s="829"/>
      <c r="J30" s="829"/>
      <c r="K30" s="829"/>
      <c r="L30" s="829"/>
      <c r="M30" s="829"/>
      <c r="N30" s="829"/>
      <c r="O30" s="829"/>
      <c r="P30" s="829"/>
      <c r="Q30" s="829"/>
      <c r="R30" s="829"/>
      <c r="S30" s="829"/>
      <c r="T30" s="829"/>
      <c r="U30" s="829"/>
      <c r="V30" s="829"/>
      <c r="W30" s="829"/>
      <c r="X30" s="829"/>
      <c r="Y30" s="829"/>
      <c r="Z30" s="829"/>
      <c r="AA30" s="829"/>
      <c r="AB30" s="829"/>
      <c r="AC30" s="829"/>
      <c r="AD30" s="829"/>
      <c r="AE30" s="829"/>
      <c r="AF30" s="829"/>
    </row>
    <row r="31" spans="1:88" ht="16.5" thickBot="1">
      <c r="A31" s="329" t="s">
        <v>536</v>
      </c>
      <c r="B31" s="877"/>
      <c r="C31" s="877"/>
      <c r="D31" s="878"/>
      <c r="E31" s="879"/>
      <c r="F31" s="832"/>
      <c r="G31" s="880"/>
      <c r="H31" s="881"/>
      <c r="I31" s="1029" t="s">
        <v>536</v>
      </c>
      <c r="J31" s="882"/>
      <c r="K31" s="882"/>
      <c r="L31" s="882"/>
      <c r="M31" s="883"/>
      <c r="N31" s="832"/>
      <c r="O31" s="880"/>
      <c r="P31" s="881"/>
      <c r="Q31" s="1029" t="s">
        <v>536</v>
      </c>
      <c r="R31" s="882"/>
      <c r="S31" s="882"/>
      <c r="T31" s="882"/>
      <c r="U31" s="883"/>
      <c r="V31" s="832"/>
      <c r="W31" s="880"/>
      <c r="X31" s="881"/>
      <c r="Y31" s="1029" t="s">
        <v>537</v>
      </c>
      <c r="Z31" s="882"/>
      <c r="AA31" s="882"/>
      <c r="AB31" s="882"/>
      <c r="AC31" s="883"/>
      <c r="AD31" s="832"/>
      <c r="AE31" s="880"/>
      <c r="AF31" s="881"/>
    </row>
    <row r="32" spans="1:88" s="317" customFormat="1" ht="21.75" customHeight="1">
      <c r="A32" s="976"/>
      <c r="B32" s="977" t="s">
        <v>513</v>
      </c>
      <c r="C32" s="978"/>
      <c r="D32" s="979"/>
      <c r="E32" s="980"/>
      <c r="F32" s="1084"/>
      <c r="G32" s="1084"/>
      <c r="H32" s="1084"/>
      <c r="I32" s="1085"/>
      <c r="J32" s="1086" t="s">
        <v>513</v>
      </c>
      <c r="K32" s="1087"/>
      <c r="L32" s="1088"/>
      <c r="M32" s="1089"/>
      <c r="N32" s="843"/>
      <c r="O32" s="843"/>
      <c r="P32" s="843"/>
      <c r="Q32" s="1085"/>
      <c r="R32" s="1086" t="s">
        <v>513</v>
      </c>
      <c r="S32" s="1087"/>
      <c r="T32" s="1088"/>
      <c r="U32" s="1089"/>
      <c r="V32" s="843"/>
      <c r="W32" s="843"/>
      <c r="X32" s="843"/>
      <c r="Y32" s="1085"/>
      <c r="Z32" s="1086" t="s">
        <v>513</v>
      </c>
      <c r="AA32" s="1087"/>
      <c r="AB32" s="1088"/>
      <c r="AC32" s="1089"/>
      <c r="AD32" s="843"/>
      <c r="AE32" s="843"/>
      <c r="AF32" s="843"/>
    </row>
    <row r="33" spans="1:32" s="317" customFormat="1" ht="19.5" customHeight="1">
      <c r="A33" s="981"/>
      <c r="B33" s="982" t="s">
        <v>538</v>
      </c>
      <c r="C33" s="983" t="s">
        <v>539</v>
      </c>
      <c r="D33" s="982" t="s">
        <v>540</v>
      </c>
      <c r="E33" s="984"/>
      <c r="F33" s="314"/>
      <c r="G33" s="308"/>
      <c r="H33" s="308"/>
      <c r="I33" s="981"/>
      <c r="J33" s="982" t="s">
        <v>538</v>
      </c>
      <c r="K33" s="983" t="s">
        <v>539</v>
      </c>
      <c r="L33" s="982" t="s">
        <v>540</v>
      </c>
      <c r="M33" s="984"/>
      <c r="N33" s="830"/>
      <c r="O33" s="830"/>
      <c r="P33" s="830"/>
      <c r="Q33" s="981"/>
      <c r="R33" s="982" t="s">
        <v>538</v>
      </c>
      <c r="S33" s="983" t="s">
        <v>539</v>
      </c>
      <c r="T33" s="982" t="s">
        <v>540</v>
      </c>
      <c r="U33" s="984"/>
      <c r="V33" s="830"/>
      <c r="W33" s="830"/>
      <c r="X33" s="830"/>
      <c r="Y33" s="981"/>
      <c r="Z33" s="982" t="s">
        <v>538</v>
      </c>
      <c r="AA33" s="983" t="s">
        <v>539</v>
      </c>
      <c r="AB33" s="982" t="s">
        <v>540</v>
      </c>
      <c r="AC33" s="984"/>
      <c r="AD33" s="830"/>
      <c r="AE33" s="830"/>
      <c r="AF33" s="830"/>
    </row>
    <row r="34" spans="1:32" s="317" customFormat="1" ht="33.6" customHeight="1">
      <c r="A34" s="972" t="s">
        <v>507</v>
      </c>
      <c r="B34" s="985">
        <f>+B3</f>
        <v>0</v>
      </c>
      <c r="C34" s="986"/>
      <c r="D34" s="987"/>
      <c r="E34" s="988" t="s">
        <v>541</v>
      </c>
      <c r="F34" s="316"/>
      <c r="I34" s="972" t="s">
        <v>507</v>
      </c>
      <c r="J34" s="985">
        <f>+J3</f>
        <v>0</v>
      </c>
      <c r="K34" s="986"/>
      <c r="L34" s="987"/>
      <c r="M34" s="988" t="s">
        <v>541</v>
      </c>
      <c r="N34" s="832"/>
      <c r="O34" s="832"/>
      <c r="P34" s="832"/>
      <c r="Q34" s="972" t="s">
        <v>507</v>
      </c>
      <c r="R34" s="985">
        <f>+R3</f>
        <v>0</v>
      </c>
      <c r="S34" s="986"/>
      <c r="T34" s="987"/>
      <c r="U34" s="988" t="s">
        <v>541</v>
      </c>
      <c r="V34" s="832"/>
      <c r="W34" s="832"/>
      <c r="X34" s="832"/>
      <c r="Y34" s="972" t="s">
        <v>507</v>
      </c>
      <c r="Z34" s="985">
        <f>+Z3</f>
        <v>0</v>
      </c>
      <c r="AA34" s="986"/>
      <c r="AB34" s="987"/>
      <c r="AC34" s="988" t="s">
        <v>541</v>
      </c>
      <c r="AD34" s="832"/>
      <c r="AE34" s="832"/>
      <c r="AF34" s="832"/>
    </row>
    <row r="35" spans="1:32" s="317" customFormat="1" ht="23.25" customHeight="1">
      <c r="A35" s="973"/>
      <c r="B35" s="987"/>
      <c r="C35" s="989"/>
      <c r="D35" s="987"/>
      <c r="E35" s="990" t="s">
        <v>542</v>
      </c>
      <c r="F35" s="316"/>
      <c r="I35" s="973"/>
      <c r="J35" s="987"/>
      <c r="K35" s="989"/>
      <c r="L35" s="987"/>
      <c r="M35" s="990" t="s">
        <v>542</v>
      </c>
      <c r="N35" s="832"/>
      <c r="O35" s="832"/>
      <c r="P35" s="832"/>
      <c r="Q35" s="973"/>
      <c r="R35" s="987"/>
      <c r="S35" s="989"/>
      <c r="T35" s="987"/>
      <c r="U35" s="990" t="s">
        <v>542</v>
      </c>
      <c r="V35" s="832"/>
      <c r="W35" s="832"/>
      <c r="X35" s="832"/>
      <c r="Y35" s="973"/>
      <c r="Z35" s="987"/>
      <c r="AA35" s="989"/>
      <c r="AB35" s="987"/>
      <c r="AC35" s="990" t="s">
        <v>542</v>
      </c>
      <c r="AD35" s="832"/>
      <c r="AE35" s="832"/>
      <c r="AF35" s="832"/>
    </row>
    <row r="36" spans="1:32" s="317" customFormat="1" ht="35.1" customHeight="1">
      <c r="A36" s="972" t="s">
        <v>543</v>
      </c>
      <c r="B36" s="987">
        <f>B34-B35</f>
        <v>0</v>
      </c>
      <c r="C36" s="989">
        <f>ROUND(IF(C2=1,E38,IF(C2=2,E39,IF(C2=3,E40,IF(C2=4,E41,IF(C2=5,E42))))),4)</f>
        <v>0</v>
      </c>
      <c r="D36" s="987">
        <f>ROUND((B36*C36),0-3)</f>
        <v>0</v>
      </c>
      <c r="E36" s="991"/>
      <c r="F36" s="316"/>
      <c r="I36" s="972" t="s">
        <v>544</v>
      </c>
      <c r="J36" s="987">
        <f>J34</f>
        <v>0</v>
      </c>
      <c r="K36" s="989">
        <f>ROUND(IF(K2=1,M38,IF(K2=2,M39,IF(K2=3,M40,IF(K2=4,M41,IF(K2=5,M42))))),4)</f>
        <v>0</v>
      </c>
      <c r="L36" s="987">
        <f>ROUND((J36*K36),0-3)</f>
        <v>0</v>
      </c>
      <c r="M36" s="991"/>
      <c r="N36" s="832"/>
      <c r="O36" s="832"/>
      <c r="P36" s="832"/>
      <c r="Q36" s="972" t="s">
        <v>544</v>
      </c>
      <c r="R36" s="987">
        <f>R34</f>
        <v>0</v>
      </c>
      <c r="S36" s="989">
        <f>ROUND(IF(S2=1,U38,IF(S2=2,U39,IF(S2=3,U40,IF(S2=4,U41,IF(S2=5,U42))))),4)</f>
        <v>0</v>
      </c>
      <c r="T36" s="987">
        <f>ROUND((R36*S36),0-3)</f>
        <v>0</v>
      </c>
      <c r="U36" s="991"/>
      <c r="V36" s="832"/>
      <c r="W36" s="832"/>
      <c r="X36" s="832"/>
      <c r="Y36" s="972" t="s">
        <v>544</v>
      </c>
      <c r="Z36" s="987">
        <f>Z34</f>
        <v>0</v>
      </c>
      <c r="AA36" s="989">
        <f>ROUND(IF(AA2=1,AC38,IF(AA2=2,AC39,IF(AA2=3,AC40,IF(AA2=4,AC41,IF(AA2=5,AC42))))),4)</f>
        <v>0</v>
      </c>
      <c r="AB36" s="987">
        <f>ROUND((Z36*AA36),0-3)</f>
        <v>0</v>
      </c>
      <c r="AC36" s="991"/>
      <c r="AD36" s="832"/>
      <c r="AE36" s="832"/>
      <c r="AF36" s="832"/>
    </row>
    <row r="37" spans="1:32" s="317" customFormat="1" ht="26.1" customHeight="1">
      <c r="A37" s="974"/>
      <c r="B37" s="992"/>
      <c r="C37" s="993"/>
      <c r="D37" s="992"/>
      <c r="E37" s="994"/>
      <c r="F37" s="316"/>
      <c r="I37" s="974"/>
      <c r="J37" s="992"/>
      <c r="K37" s="993"/>
      <c r="L37" s="992"/>
      <c r="M37" s="994"/>
      <c r="N37" s="832"/>
      <c r="O37" s="832"/>
      <c r="P37" s="832"/>
      <c r="Q37" s="974"/>
      <c r="R37" s="992"/>
      <c r="S37" s="993"/>
      <c r="T37" s="992"/>
      <c r="U37" s="994"/>
      <c r="V37" s="832"/>
      <c r="W37" s="832"/>
      <c r="X37" s="832"/>
      <c r="Y37" s="974"/>
      <c r="Z37" s="992"/>
      <c r="AA37" s="993"/>
      <c r="AB37" s="992"/>
      <c r="AC37" s="994"/>
      <c r="AD37" s="832"/>
      <c r="AE37" s="832"/>
      <c r="AF37" s="832"/>
    </row>
    <row r="38" spans="1:32" s="317" customFormat="1" ht="24.6" customHeight="1">
      <c r="A38" s="972" t="s">
        <v>545</v>
      </c>
      <c r="B38" s="995">
        <f>+B4</f>
        <v>0</v>
      </c>
      <c r="C38" s="989"/>
      <c r="D38" s="987"/>
      <c r="E38" s="996">
        <f>IF(B43=0,0,-0.0141226*LOG(B43)+0.171508)</f>
        <v>0</v>
      </c>
      <c r="F38" s="316"/>
      <c r="I38" s="972" t="s">
        <v>545</v>
      </c>
      <c r="J38" s="995">
        <f>+J4</f>
        <v>0</v>
      </c>
      <c r="K38" s="989"/>
      <c r="L38" s="987"/>
      <c r="M38" s="996">
        <f>IF(J43=0,0,-0.0141226*LOG(J43)+0.171508)</f>
        <v>0</v>
      </c>
      <c r="N38" s="832"/>
      <c r="O38" s="832"/>
      <c r="P38" s="832"/>
      <c r="Q38" s="972" t="s">
        <v>545</v>
      </c>
      <c r="R38" s="995">
        <f>+R4</f>
        <v>0</v>
      </c>
      <c r="S38" s="989"/>
      <c r="T38" s="987"/>
      <c r="U38" s="996">
        <f>IF(R43=0,0,-0.0141226*LOG(R43)+0.171508)</f>
        <v>0</v>
      </c>
      <c r="V38" s="832"/>
      <c r="W38" s="832"/>
      <c r="X38" s="832"/>
      <c r="Y38" s="972" t="s">
        <v>545</v>
      </c>
      <c r="Z38" s="995">
        <f>+Z4</f>
        <v>0</v>
      </c>
      <c r="AA38" s="989"/>
      <c r="AB38" s="987"/>
      <c r="AC38" s="996">
        <f>IF(Z43=0,0,-0.0141226*LOG(Z43)+0.171508)</f>
        <v>0</v>
      </c>
      <c r="AD38" s="832"/>
      <c r="AE38" s="832"/>
      <c r="AF38" s="832"/>
    </row>
    <row r="39" spans="1:32" s="317" customFormat="1" ht="15">
      <c r="A39" s="973"/>
      <c r="B39" s="987"/>
      <c r="C39" s="989"/>
      <c r="D39" s="987"/>
      <c r="E39" s="996">
        <f>IF(B43=0,0,-0.0128776*LOG(B43)+0.1595783)</f>
        <v>0</v>
      </c>
      <c r="F39" s="316"/>
      <c r="I39" s="973"/>
      <c r="J39" s="987"/>
      <c r="K39" s="989"/>
      <c r="L39" s="987"/>
      <c r="M39" s="996">
        <f>IF(J43=0,0,-0.0128776*LOG(J43)+0.1595783)</f>
        <v>0</v>
      </c>
      <c r="N39" s="832"/>
      <c r="O39" s="832"/>
      <c r="P39" s="832"/>
      <c r="Q39" s="973"/>
      <c r="R39" s="987"/>
      <c r="S39" s="989"/>
      <c r="T39" s="987"/>
      <c r="U39" s="996">
        <f>IF(R43=0,0,-0.0128776*LOG(R43)+0.1595783)</f>
        <v>0</v>
      </c>
      <c r="V39" s="832"/>
      <c r="W39" s="832"/>
      <c r="X39" s="832"/>
      <c r="Y39" s="973"/>
      <c r="Z39" s="987"/>
      <c r="AA39" s="989"/>
      <c r="AB39" s="987"/>
      <c r="AC39" s="996">
        <f>IF(Z43=0,0,-0.0128776*LOG(Z43)+0.1595783)</f>
        <v>0</v>
      </c>
      <c r="AD39" s="832"/>
      <c r="AE39" s="832"/>
      <c r="AF39" s="832"/>
    </row>
    <row r="40" spans="1:32" s="317" customFormat="1" ht="18.600000000000001" customHeight="1">
      <c r="A40" s="972" t="s">
        <v>546</v>
      </c>
      <c r="B40" s="987">
        <f>B38-B39</f>
        <v>0</v>
      </c>
      <c r="C40" s="989">
        <f>ROUND(IF(C2=1,E38+0.02,IF(C2=2,E39+0.02,IF(C2=3,E40+0.02,IF(C2=4,E41+0.02,IF(C2=5,E42+0.02))))),4)</f>
        <v>0</v>
      </c>
      <c r="D40" s="987">
        <f>ROUND((B40*C40),0-3)</f>
        <v>0</v>
      </c>
      <c r="E40" s="996">
        <f>IF(B43=0,0,-0.01224308*LOG(B43)+0.1514231)</f>
        <v>0</v>
      </c>
      <c r="F40" s="316"/>
      <c r="I40" s="972" t="s">
        <v>547</v>
      </c>
      <c r="J40" s="987">
        <f>J38</f>
        <v>0</v>
      </c>
      <c r="K40" s="989">
        <f>ROUND(IF(K2=1,M38+0.02,IF(K2=2,M39+0.02,IF(K2=3,M40+0.02,IF(K2=4,M41+0.02,IF(K2=5,M42+0.02))))),4)</f>
        <v>0</v>
      </c>
      <c r="L40" s="987">
        <f>ROUND((J40*K40),0-3)</f>
        <v>0</v>
      </c>
      <c r="M40" s="996">
        <f>IF(J43=0,0,-0.01224308*LOG(J43)+0.1514231)</f>
        <v>0</v>
      </c>
      <c r="N40" s="832"/>
      <c r="O40" s="832"/>
      <c r="P40" s="832"/>
      <c r="Q40" s="972" t="s">
        <v>547</v>
      </c>
      <c r="R40" s="987">
        <f>R38</f>
        <v>0</v>
      </c>
      <c r="S40" s="989">
        <f>ROUND(IF(S2=1,U38+0.02,IF(S2=2,U39+0.02,IF(S2=3,U40+0.02,IF(S2=4,U41+0.02,IF(S2=5,U42+0.02))))),4)</f>
        <v>0</v>
      </c>
      <c r="T40" s="987">
        <f>ROUND((R40*S40),0-3)</f>
        <v>0</v>
      </c>
      <c r="U40" s="996">
        <f>IF(R43=0,0,-0.01224308*LOG(R43)+0.1514231)</f>
        <v>0</v>
      </c>
      <c r="V40" s="832"/>
      <c r="W40" s="832"/>
      <c r="X40" s="832"/>
      <c r="Y40" s="972" t="s">
        <v>547</v>
      </c>
      <c r="Z40" s="987">
        <f>Z38</f>
        <v>0</v>
      </c>
      <c r="AA40" s="989">
        <f>ROUND(IF(AA2=1,AC38+0.02,IF(AA2=2,AC39+0.02,IF(AA2=3,AC40+0.02,IF(AA2=4,AC41+0.02,IF(AA2=5,AC42+0.02))))),4)</f>
        <v>0</v>
      </c>
      <c r="AB40" s="987">
        <f>ROUND((Z40*AA40),0-3)</f>
        <v>0</v>
      </c>
      <c r="AC40" s="996">
        <f>IF(Z43=0,0,-0.01224308*LOG(Z43)+0.1514231)</f>
        <v>0</v>
      </c>
      <c r="AD40" s="832"/>
      <c r="AE40" s="832"/>
      <c r="AF40" s="832"/>
    </row>
    <row r="41" spans="1:32" s="317" customFormat="1" ht="15">
      <c r="A41" s="973"/>
      <c r="B41" s="997"/>
      <c r="C41" s="989"/>
      <c r="D41" s="987"/>
      <c r="E41" s="996">
        <f>IF(B43=0,0,-0.01134853*LOG(B43)+0.141839)</f>
        <v>0</v>
      </c>
      <c r="F41" s="316"/>
      <c r="I41" s="973"/>
      <c r="J41" s="997"/>
      <c r="K41" s="989"/>
      <c r="L41" s="987"/>
      <c r="M41" s="996">
        <f>IF(J43=0,0,-0.01134853*LOG(J43)+0.141839)</f>
        <v>0</v>
      </c>
      <c r="N41" s="832"/>
      <c r="O41" s="832"/>
      <c r="P41" s="832"/>
      <c r="Q41" s="973"/>
      <c r="R41" s="997"/>
      <c r="S41" s="989"/>
      <c r="T41" s="987"/>
      <c r="U41" s="996">
        <f>IF(R43=0,0,-0.01134853*LOG(R43)+0.141839)</f>
        <v>0</v>
      </c>
      <c r="V41" s="832"/>
      <c r="W41" s="832"/>
      <c r="X41" s="832"/>
      <c r="Y41" s="973"/>
      <c r="Z41" s="997"/>
      <c r="AA41" s="989"/>
      <c r="AB41" s="987"/>
      <c r="AC41" s="996">
        <f>IF(Z43=0,0,-0.01134853*LOG(Z43)+0.141839)</f>
        <v>0</v>
      </c>
      <c r="AD41" s="832"/>
      <c r="AE41" s="832"/>
      <c r="AF41" s="832"/>
    </row>
    <row r="42" spans="1:32" s="317" customFormat="1" ht="15.75" thickBot="1">
      <c r="A42" s="975"/>
      <c r="B42" s="998"/>
      <c r="C42" s="999"/>
      <c r="D42" s="998"/>
      <c r="E42" s="1000">
        <f>IF(B43=0,0,-0.01065862*LOG(B43)+0.1334599)</f>
        <v>0</v>
      </c>
      <c r="F42" s="316"/>
      <c r="I42" s="975"/>
      <c r="J42" s="998"/>
      <c r="K42" s="999"/>
      <c r="L42" s="998"/>
      <c r="M42" s="1000">
        <f>IF(J43=0,0,-0.01065862*LOG(J43)+0.1334599)</f>
        <v>0</v>
      </c>
      <c r="N42" s="832"/>
      <c r="O42" s="832"/>
      <c r="P42" s="832"/>
      <c r="Q42" s="975"/>
      <c r="R42" s="998"/>
      <c r="S42" s="999"/>
      <c r="T42" s="998"/>
      <c r="U42" s="1000">
        <f>IF(R43=0,0,-0.01065862*LOG(R43)+0.1334599)</f>
        <v>0</v>
      </c>
      <c r="V42" s="832"/>
      <c r="W42" s="832"/>
      <c r="X42" s="832"/>
      <c r="Y42" s="975"/>
      <c r="Z42" s="998"/>
      <c r="AA42" s="999"/>
      <c r="AB42" s="998"/>
      <c r="AC42" s="1000">
        <f>IF(Z43=0,0,-0.01065862*LOG(Z43)+0.1334599)</f>
        <v>0</v>
      </c>
      <c r="AD42" s="832"/>
      <c r="AE42" s="832"/>
      <c r="AF42" s="832"/>
    </row>
    <row r="43" spans="1:32" s="317" customFormat="1" ht="15">
      <c r="A43" s="972" t="s">
        <v>548</v>
      </c>
      <c r="B43" s="995">
        <f>B36+B40</f>
        <v>0</v>
      </c>
      <c r="C43" s="1001" t="e">
        <f>+D43/B43</f>
        <v>#DIV/0!</v>
      </c>
      <c r="D43" s="995">
        <f>D36+D40</f>
        <v>0</v>
      </c>
      <c r="E43" s="1002"/>
      <c r="F43" s="316"/>
      <c r="I43" s="972" t="s">
        <v>549</v>
      </c>
      <c r="J43" s="995">
        <f>J36+J40</f>
        <v>0</v>
      </c>
      <c r="K43" s="1001" t="e">
        <f>+L43/J43</f>
        <v>#DIV/0!</v>
      </c>
      <c r="L43" s="995">
        <f>L36+L40</f>
        <v>0</v>
      </c>
      <c r="M43" s="1002"/>
      <c r="N43" s="832"/>
      <c r="O43" s="832"/>
      <c r="P43" s="832"/>
      <c r="Q43" s="972" t="s">
        <v>549</v>
      </c>
      <c r="R43" s="995">
        <f>R36+R40</f>
        <v>0</v>
      </c>
      <c r="S43" s="1001" t="e">
        <f>+T43/R43</f>
        <v>#DIV/0!</v>
      </c>
      <c r="T43" s="995">
        <f>T36+T40</f>
        <v>0</v>
      </c>
      <c r="U43" s="1002"/>
      <c r="V43" s="832"/>
      <c r="W43" s="832"/>
      <c r="X43" s="832"/>
      <c r="Y43" s="972" t="s">
        <v>549</v>
      </c>
      <c r="Z43" s="995">
        <f>Z36+Z40</f>
        <v>0</v>
      </c>
      <c r="AA43" s="1001" t="e">
        <f>+AB43/Z43</f>
        <v>#DIV/0!</v>
      </c>
      <c r="AB43" s="995">
        <f>AB36+AB40</f>
        <v>0</v>
      </c>
      <c r="AC43" s="1002"/>
      <c r="AD43" s="832"/>
      <c r="AE43" s="832"/>
      <c r="AF43" s="832"/>
    </row>
    <row r="44" spans="1:32" s="317" customFormat="1" ht="15.75" thickBot="1">
      <c r="A44" s="1003"/>
      <c r="B44" s="998"/>
      <c r="C44" s="1004"/>
      <c r="D44" s="1005"/>
      <c r="E44" s="1006"/>
      <c r="F44" s="973"/>
      <c r="I44" s="1003"/>
      <c r="J44" s="998"/>
      <c r="K44" s="1004"/>
      <c r="L44" s="1005"/>
      <c r="M44" s="1006"/>
      <c r="N44" s="885"/>
      <c r="O44" s="832"/>
      <c r="P44" s="832"/>
      <c r="Q44" s="1003"/>
      <c r="R44" s="998"/>
      <c r="S44" s="1004"/>
      <c r="T44" s="1005"/>
      <c r="U44" s="1006"/>
      <c r="V44" s="885"/>
      <c r="W44" s="832"/>
      <c r="X44" s="832"/>
      <c r="Y44" s="1003"/>
      <c r="Z44" s="998"/>
      <c r="AA44" s="1004"/>
      <c r="AB44" s="1005"/>
      <c r="AC44" s="1006"/>
      <c r="AD44" s="885"/>
      <c r="AE44" s="832"/>
      <c r="AF44" s="832"/>
    </row>
    <row r="45" spans="1:32" s="317" customFormat="1" ht="15">
      <c r="A45" s="326"/>
      <c r="B45" s="859"/>
      <c r="C45" s="832"/>
      <c r="D45" s="832"/>
      <c r="E45" s="886"/>
      <c r="F45" s="832"/>
      <c r="G45" s="884"/>
      <c r="H45" s="832"/>
      <c r="I45" s="832"/>
      <c r="J45" s="859"/>
      <c r="K45" s="832"/>
      <c r="L45" s="832"/>
      <c r="M45" s="886"/>
      <c r="N45" s="832"/>
      <c r="O45" s="884"/>
      <c r="P45" s="884"/>
      <c r="Q45" s="832"/>
      <c r="R45" s="859"/>
      <c r="S45" s="832"/>
      <c r="T45" s="832"/>
      <c r="U45" s="886"/>
      <c r="V45" s="832"/>
      <c r="W45" s="884"/>
      <c r="X45" s="884"/>
      <c r="Y45" s="832"/>
      <c r="Z45" s="859"/>
      <c r="AA45" s="832"/>
      <c r="AB45" s="832"/>
      <c r="AC45" s="886"/>
      <c r="AD45" s="832"/>
      <c r="AE45" s="884"/>
      <c r="AF45" s="884"/>
    </row>
    <row r="46" spans="1:32" s="317" customFormat="1" ht="15">
      <c r="A46" s="326"/>
      <c r="B46" s="859"/>
      <c r="C46" s="832"/>
      <c r="D46" s="832"/>
      <c r="E46" s="886"/>
      <c r="F46" s="832"/>
      <c r="G46" s="884"/>
      <c r="H46" s="832"/>
      <c r="I46" s="832"/>
      <c r="J46" s="859"/>
      <c r="K46" s="832"/>
      <c r="L46" s="832"/>
      <c r="M46" s="886"/>
      <c r="N46" s="832"/>
      <c r="O46" s="884"/>
      <c r="P46" s="884"/>
      <c r="Q46" s="832"/>
      <c r="R46" s="859"/>
      <c r="S46" s="832"/>
      <c r="T46" s="832"/>
      <c r="U46" s="886"/>
      <c r="V46" s="832"/>
      <c r="W46" s="884"/>
      <c r="X46" s="884"/>
      <c r="Y46" s="832"/>
      <c r="Z46" s="859"/>
      <c r="AA46" s="832"/>
      <c r="AB46" s="832"/>
      <c r="AC46" s="886"/>
      <c r="AD46" s="832"/>
      <c r="AE46" s="884"/>
      <c r="AF46" s="884"/>
    </row>
    <row r="47" spans="1:32" ht="15">
      <c r="A47" s="326"/>
      <c r="B47" s="859"/>
      <c r="C47" s="832"/>
      <c r="D47" s="832"/>
      <c r="E47" s="886"/>
      <c r="F47" s="832"/>
      <c r="G47" s="884"/>
      <c r="H47" s="832"/>
      <c r="I47" s="832"/>
      <c r="J47" s="859"/>
      <c r="K47" s="832"/>
      <c r="L47" s="832"/>
      <c r="M47" s="886"/>
      <c r="N47" s="832"/>
      <c r="O47" s="884"/>
      <c r="P47" s="884"/>
      <c r="Q47" s="832"/>
      <c r="R47" s="859"/>
      <c r="S47" s="832"/>
      <c r="T47" s="832"/>
      <c r="U47" s="886"/>
      <c r="V47" s="832"/>
      <c r="W47" s="884"/>
      <c r="X47" s="884"/>
      <c r="Y47" s="832"/>
      <c r="Z47" s="859"/>
      <c r="AA47" s="832"/>
      <c r="AB47" s="832"/>
      <c r="AC47" s="886"/>
      <c r="AD47" s="832"/>
      <c r="AE47" s="884"/>
      <c r="AF47" s="884"/>
    </row>
    <row r="48" spans="1:32" ht="15.75" thickBot="1">
      <c r="A48" s="326"/>
      <c r="B48" s="859"/>
      <c r="C48" s="832"/>
      <c r="D48" s="832"/>
      <c r="E48" s="886"/>
      <c r="F48" s="832"/>
      <c r="G48" s="884"/>
      <c r="H48" s="832"/>
      <c r="I48" s="832"/>
      <c r="J48" s="859"/>
      <c r="K48" s="832"/>
      <c r="L48" s="832"/>
      <c r="M48" s="886"/>
      <c r="N48" s="832"/>
      <c r="O48" s="884"/>
      <c r="P48" s="884"/>
      <c r="Q48" s="832"/>
      <c r="R48" s="859"/>
      <c r="S48" s="832"/>
      <c r="T48" s="832"/>
      <c r="U48" s="886"/>
      <c r="V48" s="832"/>
      <c r="W48" s="884"/>
      <c r="X48" s="884"/>
      <c r="Y48" s="832"/>
      <c r="Z48" s="859"/>
      <c r="AA48" s="832"/>
      <c r="AB48" s="832"/>
      <c r="AC48" s="886"/>
      <c r="AD48" s="832"/>
      <c r="AE48" s="884"/>
      <c r="AF48" s="884"/>
    </row>
    <row r="49" spans="1:88" ht="16.5" thickBot="1">
      <c r="A49" s="330" t="s">
        <v>550</v>
      </c>
      <c r="B49" s="887"/>
      <c r="C49" s="887"/>
      <c r="D49" s="888"/>
      <c r="E49" s="888"/>
      <c r="F49" s="888"/>
      <c r="G49" s="888"/>
      <c r="H49" s="889"/>
      <c r="I49" s="1030" t="s">
        <v>550</v>
      </c>
      <c r="J49" s="890"/>
      <c r="K49" s="890"/>
      <c r="L49" s="890"/>
      <c r="M49" s="890"/>
      <c r="N49" s="890"/>
      <c r="O49" s="891"/>
      <c r="P49" s="892"/>
      <c r="Q49" s="1030" t="s">
        <v>550</v>
      </c>
      <c r="R49" s="890"/>
      <c r="S49" s="890"/>
      <c r="T49" s="890"/>
      <c r="U49" s="890"/>
      <c r="V49" s="890"/>
      <c r="W49" s="891"/>
      <c r="X49" s="892"/>
      <c r="Y49" s="1030" t="s">
        <v>550</v>
      </c>
      <c r="Z49" s="890"/>
      <c r="AA49" s="890"/>
      <c r="AB49" s="890"/>
      <c r="AC49" s="890"/>
      <c r="AD49" s="890"/>
      <c r="AE49" s="891"/>
      <c r="AF49" s="892"/>
    </row>
    <row r="50" spans="1:88" s="317" customFormat="1">
      <c r="A50" s="1031"/>
      <c r="B50" s="1284" t="s">
        <v>513</v>
      </c>
      <c r="C50" s="1462" t="s">
        <v>551</v>
      </c>
      <c r="D50" s="1451"/>
      <c r="E50" s="1452"/>
      <c r="F50" s="1451" t="s">
        <v>552</v>
      </c>
      <c r="G50" s="1451"/>
      <c r="H50" s="1452"/>
      <c r="I50" s="1077"/>
      <c r="J50" s="1285" t="s">
        <v>513</v>
      </c>
      <c r="K50" s="1457" t="s">
        <v>551</v>
      </c>
      <c r="L50" s="1458"/>
      <c r="M50" s="1459"/>
      <c r="N50" s="1458" t="s">
        <v>552</v>
      </c>
      <c r="O50" s="1458"/>
      <c r="P50" s="1459"/>
      <c r="Q50" s="1077"/>
      <c r="R50" s="1285" t="s">
        <v>513</v>
      </c>
      <c r="S50" s="1457" t="s">
        <v>551</v>
      </c>
      <c r="T50" s="1458"/>
      <c r="U50" s="1459"/>
      <c r="V50" s="1458" t="s">
        <v>552</v>
      </c>
      <c r="W50" s="1458"/>
      <c r="X50" s="1459"/>
      <c r="Y50" s="1077"/>
      <c r="Z50" s="1285" t="s">
        <v>513</v>
      </c>
      <c r="AA50" s="1457" t="s">
        <v>551</v>
      </c>
      <c r="AB50" s="1458"/>
      <c r="AC50" s="1459"/>
      <c r="AD50" s="1458" t="s">
        <v>552</v>
      </c>
      <c r="AE50" s="1458"/>
      <c r="AF50" s="1459"/>
    </row>
    <row r="51" spans="1:88" s="317" customFormat="1">
      <c r="A51" s="1032"/>
      <c r="B51" s="1033" t="s">
        <v>538</v>
      </c>
      <c r="C51" s="1078" t="s">
        <v>539</v>
      </c>
      <c r="D51" s="1033" t="s">
        <v>540</v>
      </c>
      <c r="E51" s="1035"/>
      <c r="F51" s="1033" t="s">
        <v>553</v>
      </c>
      <c r="G51" s="1033"/>
      <c r="H51" s="1036"/>
      <c r="I51" s="1032"/>
      <c r="J51" s="1033" t="s">
        <v>538</v>
      </c>
      <c r="K51" s="1078" t="s">
        <v>539</v>
      </c>
      <c r="L51" s="1033" t="s">
        <v>540</v>
      </c>
      <c r="M51" s="1035"/>
      <c r="N51" s="1033" t="s">
        <v>553</v>
      </c>
      <c r="O51" s="1033" t="s">
        <v>51</v>
      </c>
      <c r="P51" s="1036" t="s">
        <v>554</v>
      </c>
      <c r="Q51" s="1032"/>
      <c r="R51" s="1033" t="s">
        <v>538</v>
      </c>
      <c r="S51" s="1078" t="s">
        <v>539</v>
      </c>
      <c r="T51" s="1033" t="s">
        <v>540</v>
      </c>
      <c r="U51" s="1035"/>
      <c r="V51" s="1033" t="s">
        <v>553</v>
      </c>
      <c r="W51" s="1033" t="s">
        <v>51</v>
      </c>
      <c r="X51" s="1036" t="s">
        <v>554</v>
      </c>
      <c r="Y51" s="1032"/>
      <c r="Z51" s="1033" t="s">
        <v>538</v>
      </c>
      <c r="AA51" s="1078" t="s">
        <v>539</v>
      </c>
      <c r="AB51" s="1033" t="s">
        <v>540</v>
      </c>
      <c r="AC51" s="1035"/>
      <c r="AD51" s="1033" t="s">
        <v>553</v>
      </c>
      <c r="AE51" s="1033" t="s">
        <v>51</v>
      </c>
      <c r="AF51" s="1036" t="s">
        <v>554</v>
      </c>
    </row>
    <row r="52" spans="1:88" s="317" customFormat="1">
      <c r="A52" s="972" t="s">
        <v>507</v>
      </c>
      <c r="B52" s="985">
        <f>+B3</f>
        <v>0</v>
      </c>
      <c r="C52" s="986"/>
      <c r="D52" s="987"/>
      <c r="E52" s="988" t="s">
        <v>541</v>
      </c>
      <c r="F52" s="1038">
        <f>+ROUND(B52*+F53,-3)</f>
        <v>0</v>
      </c>
      <c r="G52" s="1039"/>
      <c r="H52" s="1040"/>
      <c r="I52" s="972" t="s">
        <v>555</v>
      </c>
      <c r="J52" s="985">
        <f>+J3</f>
        <v>0</v>
      </c>
      <c r="K52" s="986"/>
      <c r="L52" s="987"/>
      <c r="M52" s="988" t="s">
        <v>541</v>
      </c>
      <c r="N52" s="1038">
        <f>+ROUND(J52*+N53,-3)</f>
        <v>0</v>
      </c>
      <c r="O52" s="1039"/>
      <c r="P52" s="1040"/>
      <c r="Q52" s="972" t="s">
        <v>555</v>
      </c>
      <c r="R52" s="985">
        <f>+R3</f>
        <v>0</v>
      </c>
      <c r="S52" s="986"/>
      <c r="T52" s="987"/>
      <c r="U52" s="988" t="s">
        <v>541</v>
      </c>
      <c r="V52" s="1038">
        <f>+ROUND(R52*+V53,-3)</f>
        <v>0</v>
      </c>
      <c r="W52" s="1039"/>
      <c r="X52" s="1040"/>
      <c r="Y52" s="972" t="s">
        <v>555</v>
      </c>
      <c r="Z52" s="985">
        <f>+Z3</f>
        <v>0</v>
      </c>
      <c r="AA52" s="986"/>
      <c r="AB52" s="987"/>
      <c r="AC52" s="988" t="s">
        <v>541</v>
      </c>
      <c r="AD52" s="1038">
        <f>+ROUND(Z52*+AD53,-3)</f>
        <v>0</v>
      </c>
      <c r="AE52" s="1039"/>
      <c r="AF52" s="1040"/>
    </row>
    <row r="53" spans="1:88" s="317" customFormat="1">
      <c r="A53" s="973"/>
      <c r="B53" s="987"/>
      <c r="C53" s="989"/>
      <c r="D53" s="987"/>
      <c r="E53" s="990" t="s">
        <v>542</v>
      </c>
      <c r="F53" s="1042">
        <f>+REFERENCE!T33</f>
        <v>0.01</v>
      </c>
      <c r="G53" s="1042"/>
      <c r="H53" s="1043"/>
      <c r="I53" s="973"/>
      <c r="J53" s="987"/>
      <c r="K53" s="989"/>
      <c r="L53" s="987"/>
      <c r="M53" s="990" t="s">
        <v>542</v>
      </c>
      <c r="N53" s="1042">
        <f>REFERENCE!T33</f>
        <v>0.01</v>
      </c>
      <c r="O53" s="1042"/>
      <c r="P53" s="1043"/>
      <c r="Q53" s="973"/>
      <c r="R53" s="987"/>
      <c r="S53" s="989"/>
      <c r="T53" s="987"/>
      <c r="U53" s="990" t="s">
        <v>542</v>
      </c>
      <c r="V53" s="1042">
        <f>+REFERENCE!T33</f>
        <v>0.01</v>
      </c>
      <c r="W53" s="1042"/>
      <c r="X53" s="1043"/>
      <c r="Y53" s="973"/>
      <c r="Z53" s="987"/>
      <c r="AA53" s="989"/>
      <c r="AB53" s="987"/>
      <c r="AC53" s="990" t="s">
        <v>542</v>
      </c>
      <c r="AD53" s="1042">
        <f>REFERENCE!T33</f>
        <v>0.01</v>
      </c>
      <c r="AE53" s="1042"/>
      <c r="AF53" s="1043"/>
    </row>
    <row r="54" spans="1:88" s="317" customFormat="1">
      <c r="A54" s="972" t="s">
        <v>543</v>
      </c>
      <c r="B54" s="987">
        <f>B52-B53</f>
        <v>0</v>
      </c>
      <c r="C54" s="989">
        <f>ROUND(IF(C2=1,E56,IF(C2=2,E57,IF(C2=3,E58,IF(C2=4,E59,IF(C2=5,E60))))),4)</f>
        <v>0</v>
      </c>
      <c r="D54" s="987">
        <f>ROUND((B54*C54),0-3)</f>
        <v>0</v>
      </c>
      <c r="E54" s="991"/>
      <c r="F54" s="1044"/>
      <c r="G54" s="1045"/>
      <c r="H54" s="1046"/>
      <c r="I54" s="972" t="s">
        <v>544</v>
      </c>
      <c r="J54" s="987">
        <f>J52</f>
        <v>0</v>
      </c>
      <c r="K54" s="989">
        <f>ROUND(IF(K2=1,M56,IF(K2=2,M57,IF(K2=3,M58,IF(K2=4,M59,IF(K2=5,M60))))),4)</f>
        <v>0</v>
      </c>
      <c r="L54" s="987">
        <f>ROUND((J54*K54),0-3)</f>
        <v>0</v>
      </c>
      <c r="M54" s="991"/>
      <c r="N54" s="1044"/>
      <c r="O54" s="1045"/>
      <c r="P54" s="1046"/>
      <c r="Q54" s="972" t="s">
        <v>544</v>
      </c>
      <c r="R54" s="987">
        <f>R52</f>
        <v>0</v>
      </c>
      <c r="S54" s="989">
        <f>ROUND(IF(S2=1,U56,IF(S2=2,U57,IF(S2=3,U58,IF(S2=4,U59,IF(S2=5,U60))))),4)</f>
        <v>0</v>
      </c>
      <c r="T54" s="987">
        <f>ROUND((R54*S54),0-3)</f>
        <v>0</v>
      </c>
      <c r="U54" s="991"/>
      <c r="V54" s="1044"/>
      <c r="W54" s="1045"/>
      <c r="X54" s="1046"/>
      <c r="Y54" s="972" t="s">
        <v>544</v>
      </c>
      <c r="Z54" s="987">
        <f>Z52</f>
        <v>0</v>
      </c>
      <c r="AA54" s="989">
        <f>ROUND(IF(AA2=1,AC56,IF(AA2=2,AC57,IF(AA2=3,AC58,IF(AA2=4,AC59,IF(AA2=5,AC60))))),4)</f>
        <v>0</v>
      </c>
      <c r="AB54" s="987">
        <f>ROUND((Z54*AA54),0-3)</f>
        <v>0</v>
      </c>
      <c r="AC54" s="991"/>
      <c r="AD54" s="1044"/>
      <c r="AE54" s="1045"/>
      <c r="AF54" s="1046"/>
    </row>
    <row r="55" spans="1:88" s="317" customFormat="1">
      <c r="A55" s="974"/>
      <c r="B55" s="992"/>
      <c r="C55" s="993"/>
      <c r="D55" s="992"/>
      <c r="E55" s="994"/>
      <c r="F55" s="1048"/>
      <c r="G55" s="1049"/>
      <c r="H55" s="1050"/>
      <c r="I55" s="974"/>
      <c r="J55" s="992"/>
      <c r="K55" s="993"/>
      <c r="L55" s="992"/>
      <c r="M55" s="994"/>
      <c r="N55" s="1048"/>
      <c r="O55" s="1049"/>
      <c r="P55" s="1050"/>
      <c r="Q55" s="974"/>
      <c r="R55" s="992"/>
      <c r="S55" s="993"/>
      <c r="T55" s="992"/>
      <c r="U55" s="994"/>
      <c r="V55" s="1048"/>
      <c r="W55" s="1049"/>
      <c r="X55" s="1050"/>
      <c r="Y55" s="974"/>
      <c r="Z55" s="992"/>
      <c r="AA55" s="993"/>
      <c r="AB55" s="992"/>
      <c r="AC55" s="994"/>
      <c r="AD55" s="1048"/>
      <c r="AE55" s="1049"/>
      <c r="AF55" s="1050"/>
    </row>
    <row r="56" spans="1:88" s="317" customFormat="1">
      <c r="A56" s="972" t="s">
        <v>556</v>
      </c>
      <c r="B56" s="995">
        <f>+B4</f>
        <v>0</v>
      </c>
      <c r="C56" s="989"/>
      <c r="D56" s="987"/>
      <c r="E56" s="996">
        <f>IF(B61=0,0,-0.0141226*LOG(B61)+0.171508)</f>
        <v>0</v>
      </c>
      <c r="F56" s="1038">
        <f>+ROUND(B56*+F57,-3)</f>
        <v>0</v>
      </c>
      <c r="G56" s="1039"/>
      <c r="H56" s="1040"/>
      <c r="I56" s="972" t="s">
        <v>556</v>
      </c>
      <c r="J56" s="995">
        <f>+J4</f>
        <v>0</v>
      </c>
      <c r="K56" s="989"/>
      <c r="L56" s="987"/>
      <c r="M56" s="996">
        <f>IF(J61=0,0,-0.0141226*LOG(J61)+0.171508)</f>
        <v>0</v>
      </c>
      <c r="N56" s="1038">
        <f>+ROUND(J56*+N57,-3)</f>
        <v>0</v>
      </c>
      <c r="O56" s="1039"/>
      <c r="P56" s="1040"/>
      <c r="Q56" s="972" t="s">
        <v>556</v>
      </c>
      <c r="R56" s="995">
        <f>+R4</f>
        <v>0</v>
      </c>
      <c r="S56" s="989"/>
      <c r="T56" s="987"/>
      <c r="U56" s="996">
        <f>IF(R61=0,0,-0.0141226*LOG(R61)+0.171508)</f>
        <v>0</v>
      </c>
      <c r="V56" s="1038">
        <f>+ROUND(R56*+V57,-3)</f>
        <v>0</v>
      </c>
      <c r="W56" s="1039"/>
      <c r="X56" s="1040"/>
      <c r="Y56" s="972" t="s">
        <v>556</v>
      </c>
      <c r="Z56" s="995">
        <f>+Z4</f>
        <v>0</v>
      </c>
      <c r="AA56" s="989"/>
      <c r="AB56" s="987"/>
      <c r="AC56" s="996">
        <f>IF(Z61=0,0,-0.0141226*LOG(Z61)+0.171508)</f>
        <v>0</v>
      </c>
      <c r="AD56" s="1038">
        <f>+ROUND(Z56*+AD57,-3)</f>
        <v>0</v>
      </c>
      <c r="AE56" s="1039"/>
      <c r="AF56" s="1040"/>
    </row>
    <row r="57" spans="1:88" s="317" customFormat="1">
      <c r="A57" s="973"/>
      <c r="B57" s="987"/>
      <c r="C57" s="989"/>
      <c r="D57" s="987"/>
      <c r="E57" s="996">
        <f>IF(B61=0,0,-0.0128776*LOG(B61)+0.1595783)</f>
        <v>0</v>
      </c>
      <c r="F57" s="1042">
        <f>+REFERENCE!T46</f>
        <v>0</v>
      </c>
      <c r="G57" s="1042"/>
      <c r="H57" s="1043"/>
      <c r="I57" s="973"/>
      <c r="J57" s="987"/>
      <c r="K57" s="989"/>
      <c r="L57" s="987"/>
      <c r="M57" s="996">
        <f>IF(J61=0,0,-0.0128776*LOG(J61)+0.1595783)</f>
        <v>0</v>
      </c>
      <c r="N57" s="1042">
        <f>REFERENCE!T46</f>
        <v>0</v>
      </c>
      <c r="O57" s="1042"/>
      <c r="P57" s="1043"/>
      <c r="Q57" s="973"/>
      <c r="R57" s="987"/>
      <c r="S57" s="989"/>
      <c r="T57" s="987"/>
      <c r="U57" s="996">
        <f>IF(R61=0,0,-0.0128776*LOG(R61)+0.1595783)</f>
        <v>0</v>
      </c>
      <c r="V57" s="1042">
        <f>+REFERENCE!T46</f>
        <v>0</v>
      </c>
      <c r="W57" s="1042"/>
      <c r="X57" s="1043"/>
      <c r="Y57" s="973"/>
      <c r="Z57" s="987"/>
      <c r="AA57" s="989"/>
      <c r="AB57" s="987"/>
      <c r="AC57" s="996">
        <f>IF(Z61=0,0,-0.0128776*LOG(Z61)+0.1595783)</f>
        <v>0</v>
      </c>
      <c r="AD57" s="1042">
        <f>REFERENCE!T46</f>
        <v>0</v>
      </c>
      <c r="AE57" s="1042"/>
      <c r="AF57" s="1043"/>
    </row>
    <row r="58" spans="1:88" s="317" customFormat="1">
      <c r="A58" s="972" t="s">
        <v>546</v>
      </c>
      <c r="B58" s="987">
        <f>B56-B57</f>
        <v>0</v>
      </c>
      <c r="C58" s="989">
        <f>ROUND(IF(C2=1,E56+0.02,IF(C2=2,E57+0.02,IF(C2=3,E58+0.02,IF(C2=4,E59+0.02,IF(C2=5,E60+0.02))))),4)</f>
        <v>0</v>
      </c>
      <c r="D58" s="987">
        <f>ROUND((B58*C58),0-3)</f>
        <v>0</v>
      </c>
      <c r="E58" s="996">
        <f>IF(B61=0,0,-0.01224308*LOG(B61)+0.1514231)</f>
        <v>0</v>
      </c>
      <c r="F58" s="1044"/>
      <c r="G58" s="1045"/>
      <c r="H58" s="1046"/>
      <c r="I58" s="972" t="s">
        <v>547</v>
      </c>
      <c r="J58" s="987">
        <f>J56</f>
        <v>0</v>
      </c>
      <c r="K58" s="989">
        <f>ROUND(IF(K2=1,M56+0.02,IF(K2=2,M57+0.02,IF(K2=3,M58+0.02,IF(K2=4,M59+0.02,IF(K2=5,M60+0.02))))),4)</f>
        <v>0</v>
      </c>
      <c r="L58" s="987">
        <f>ROUND((J58*K58),0-3)</f>
        <v>0</v>
      </c>
      <c r="M58" s="996">
        <f>IF(J61=0,0,-0.01224308*LOG(J61)+0.1514231)</f>
        <v>0</v>
      </c>
      <c r="N58" s="1044"/>
      <c r="O58" s="1045"/>
      <c r="P58" s="1046"/>
      <c r="Q58" s="972" t="s">
        <v>547</v>
      </c>
      <c r="R58" s="987">
        <f>R56</f>
        <v>0</v>
      </c>
      <c r="S58" s="989">
        <f>ROUND(IF(S2=1,U56+0.02,IF(S2=2,U57+0.02,IF(S2=3,U58+0.02,IF(S2=4,U59+0.02,IF(S2=5,U60+0.02))))),4)</f>
        <v>0</v>
      </c>
      <c r="T58" s="987">
        <f>ROUND((R58*S58),0-3)</f>
        <v>0</v>
      </c>
      <c r="U58" s="996">
        <f>IF(R61=0,0,-0.01224308*LOG(R61)+0.1514231)</f>
        <v>0</v>
      </c>
      <c r="V58" s="1044"/>
      <c r="W58" s="1045"/>
      <c r="X58" s="1046"/>
      <c r="Y58" s="972" t="s">
        <v>547</v>
      </c>
      <c r="Z58" s="987">
        <f>Z56</f>
        <v>0</v>
      </c>
      <c r="AA58" s="989">
        <f>ROUND(IF(AA2=1,AC56+0.02,IF(AA2=2,AC57+0.02,IF(AA2=3,AC58+0.02,IF(AA2=4,AC59+0.02,IF(AA2=5,AC60+0.02))))),4)</f>
        <v>0</v>
      </c>
      <c r="AB58" s="987">
        <f>ROUND((Z58*AA58),0-3)</f>
        <v>0</v>
      </c>
      <c r="AC58" s="996">
        <f>IF(Z61=0,0,-0.01224308*LOG(Z61)+0.1514231)</f>
        <v>0</v>
      </c>
      <c r="AD58" s="1044"/>
      <c r="AE58" s="1045"/>
      <c r="AF58" s="1046"/>
    </row>
    <row r="59" spans="1:88" s="317" customFormat="1">
      <c r="A59" s="973"/>
      <c r="B59" s="997"/>
      <c r="C59" s="989"/>
      <c r="D59" s="987"/>
      <c r="E59" s="996">
        <f>IF(B61=0,0,-0.01134853*LOG(B61)+0.141839)</f>
        <v>0</v>
      </c>
      <c r="F59" s="1044"/>
      <c r="G59" s="1045"/>
      <c r="H59" s="1046"/>
      <c r="I59" s="973"/>
      <c r="J59" s="997"/>
      <c r="K59" s="989"/>
      <c r="L59" s="987"/>
      <c r="M59" s="996">
        <f>IF(J61=0,0,-0.01134853*LOG(J61)+0.141839)</f>
        <v>0</v>
      </c>
      <c r="N59" s="1044"/>
      <c r="O59" s="1045"/>
      <c r="P59" s="1046"/>
      <c r="Q59" s="973"/>
      <c r="R59" s="997"/>
      <c r="S59" s="989"/>
      <c r="T59" s="987"/>
      <c r="U59" s="996">
        <f>IF(R61=0,0,-0.01134853*LOG(R61)+0.141839)</f>
        <v>0</v>
      </c>
      <c r="V59" s="1044"/>
      <c r="W59" s="1045"/>
      <c r="X59" s="1046"/>
      <c r="Y59" s="973"/>
      <c r="Z59" s="997"/>
      <c r="AA59" s="989"/>
      <c r="AB59" s="987"/>
      <c r="AC59" s="996">
        <f>IF(Z61=0,0,-0.01134853*LOG(Z61)+0.141839)</f>
        <v>0</v>
      </c>
      <c r="AD59" s="1044"/>
      <c r="AE59" s="1045"/>
      <c r="AF59" s="1046"/>
    </row>
    <row r="60" spans="1:88" s="317" customFormat="1" ht="13.5" thickBot="1">
      <c r="A60" s="975"/>
      <c r="B60" s="998"/>
      <c r="C60" s="999"/>
      <c r="D60" s="998"/>
      <c r="E60" s="1000">
        <f>IF(B61=0,0,-0.01065862*LOG(B61)+0.1334599)</f>
        <v>0</v>
      </c>
      <c r="F60" s="1053"/>
      <c r="G60" s="1054"/>
      <c r="H60" s="1055"/>
      <c r="I60" s="975"/>
      <c r="J60" s="998"/>
      <c r="K60" s="999"/>
      <c r="L60" s="998"/>
      <c r="M60" s="1000">
        <f>IF(J61=0,0,-0.01065862*LOG(J61)+0.1334599)</f>
        <v>0</v>
      </c>
      <c r="N60" s="1053"/>
      <c r="O60" s="1054"/>
      <c r="P60" s="1055"/>
      <c r="Q60" s="975"/>
      <c r="R60" s="998"/>
      <c r="S60" s="999"/>
      <c r="T60" s="998"/>
      <c r="U60" s="1000">
        <f>IF(R61=0,0,-0.01065862*LOG(R61)+0.1334599)</f>
        <v>0</v>
      </c>
      <c r="V60" s="1053"/>
      <c r="W60" s="1054"/>
      <c r="X60" s="1055"/>
      <c r="Y60" s="975"/>
      <c r="Z60" s="998"/>
      <c r="AA60" s="999"/>
      <c r="AB60" s="998"/>
      <c r="AC60" s="1000">
        <f>IF(Z61=0,0,-0.01065862*LOG(Z61)+0.1334599)</f>
        <v>0</v>
      </c>
      <c r="AD60" s="1053"/>
      <c r="AE60" s="1054"/>
      <c r="AF60" s="1055"/>
    </row>
    <row r="61" spans="1:88" s="317" customFormat="1">
      <c r="A61" s="972" t="s">
        <v>548</v>
      </c>
      <c r="B61" s="995">
        <f>B54+B58</f>
        <v>0</v>
      </c>
      <c r="C61" s="1079" t="e">
        <f>+D61/B61</f>
        <v>#DIV/0!</v>
      </c>
      <c r="D61" s="995">
        <f>D54+D58</f>
        <v>0</v>
      </c>
      <c r="E61" s="1002"/>
      <c r="F61" s="1061">
        <f>SUM(F52:F60)</f>
        <v>0.01</v>
      </c>
      <c r="G61" s="1080"/>
      <c r="H61" s="1081"/>
      <c r="I61" s="972" t="s">
        <v>549</v>
      </c>
      <c r="J61" s="995">
        <f>J54+J58</f>
        <v>0</v>
      </c>
      <c r="K61" s="1001" t="e">
        <f>+L61/J61</f>
        <v>#DIV/0!</v>
      </c>
      <c r="L61" s="995">
        <f>L54+L58</f>
        <v>0</v>
      </c>
      <c r="M61" s="1002"/>
      <c r="N61" s="1061">
        <f>SUM(N52:N60)</f>
        <v>0.01</v>
      </c>
      <c r="O61" s="1080"/>
      <c r="P61" s="1081"/>
      <c r="Q61" s="972" t="s">
        <v>549</v>
      </c>
      <c r="R61" s="995">
        <f>R54+R58</f>
        <v>0</v>
      </c>
      <c r="S61" s="1001" t="e">
        <f>+T61/R61</f>
        <v>#DIV/0!</v>
      </c>
      <c r="T61" s="995">
        <f>T54+T58</f>
        <v>0</v>
      </c>
      <c r="U61" s="1002"/>
      <c r="V61" s="1061">
        <f>SUM(V52:V60)</f>
        <v>0.01</v>
      </c>
      <c r="W61" s="1080"/>
      <c r="X61" s="1081"/>
      <c r="Y61" s="972" t="s">
        <v>549</v>
      </c>
      <c r="Z61" s="995">
        <f>Z54+Z58</f>
        <v>0</v>
      </c>
      <c r="AA61" s="1001" t="e">
        <f>+AB61/Z61</f>
        <v>#DIV/0!</v>
      </c>
      <c r="AB61" s="995">
        <f>AB54+AB58</f>
        <v>0</v>
      </c>
      <c r="AC61" s="1002"/>
      <c r="AD61" s="1061">
        <f>SUM(AD52:AD60)</f>
        <v>0.01</v>
      </c>
      <c r="AE61" s="1080"/>
      <c r="AF61" s="1081"/>
    </row>
    <row r="62" spans="1:88" s="317" customFormat="1" ht="13.5" thickBot="1">
      <c r="A62" s="1003"/>
      <c r="B62" s="998"/>
      <c r="C62" s="1004"/>
      <c r="D62" s="1005"/>
      <c r="E62" s="1006"/>
      <c r="F62" s="1005"/>
      <c r="G62" s="998"/>
      <c r="H62" s="1082"/>
      <c r="I62" s="1003"/>
      <c r="J62" s="998"/>
      <c r="K62" s="1004"/>
      <c r="L62" s="1005"/>
      <c r="M62" s="1006"/>
      <c r="N62" s="1053"/>
      <c r="O62" s="1083"/>
      <c r="P62" s="1082"/>
      <c r="Q62" s="1003"/>
      <c r="R62" s="998"/>
      <c r="S62" s="1004"/>
      <c r="T62" s="1005"/>
      <c r="U62" s="1006"/>
      <c r="V62" s="1053"/>
      <c r="W62" s="1083"/>
      <c r="X62" s="1082"/>
      <c r="Y62" s="1003"/>
      <c r="Z62" s="998"/>
      <c r="AA62" s="1004"/>
      <c r="AB62" s="1005"/>
      <c r="AC62" s="1006"/>
      <c r="AD62" s="1053"/>
      <c r="AE62" s="1083"/>
      <c r="AF62" s="1082"/>
    </row>
    <row r="63" spans="1:88" s="331" customFormat="1" ht="15">
      <c r="A63" s="326"/>
      <c r="B63" s="859"/>
      <c r="C63" s="832"/>
      <c r="D63" s="832"/>
      <c r="E63" s="886"/>
      <c r="F63" s="832"/>
      <c r="G63" s="859"/>
      <c r="H63" s="859"/>
      <c r="I63" s="832"/>
      <c r="J63" s="859"/>
      <c r="K63" s="832"/>
      <c r="L63" s="832"/>
      <c r="M63" s="886"/>
      <c r="N63" s="893"/>
      <c r="O63" s="872"/>
      <c r="P63" s="859"/>
      <c r="Q63" s="832"/>
      <c r="R63" s="859"/>
      <c r="S63" s="832"/>
      <c r="T63" s="832"/>
      <c r="U63" s="886"/>
      <c r="V63" s="893"/>
      <c r="W63" s="872"/>
      <c r="X63" s="859"/>
      <c r="Y63" s="832"/>
      <c r="Z63" s="859"/>
      <c r="AA63" s="832"/>
      <c r="AB63" s="832"/>
      <c r="AC63" s="886"/>
      <c r="AD63" s="893"/>
      <c r="AE63" s="872"/>
      <c r="AF63" s="859"/>
      <c r="AG63" s="317"/>
      <c r="AH63" s="317"/>
      <c r="AI63" s="317"/>
      <c r="AJ63" s="317"/>
      <c r="AK63" s="317"/>
      <c r="AL63" s="317"/>
      <c r="AM63" s="317"/>
      <c r="AN63" s="317"/>
      <c r="AO63" s="317"/>
      <c r="AP63" s="317"/>
      <c r="AQ63" s="317"/>
      <c r="AR63" s="317"/>
      <c r="AS63" s="317"/>
      <c r="AT63" s="317"/>
      <c r="AU63" s="317"/>
      <c r="AV63" s="317"/>
      <c r="AW63" s="317"/>
      <c r="AX63" s="317"/>
      <c r="AY63" s="317"/>
      <c r="AZ63" s="317"/>
      <c r="BA63" s="317"/>
      <c r="BB63" s="317"/>
      <c r="BC63" s="317"/>
      <c r="BD63" s="317"/>
      <c r="BE63" s="317"/>
      <c r="BF63" s="317"/>
      <c r="BG63" s="317"/>
      <c r="BH63" s="317"/>
      <c r="BI63" s="317"/>
      <c r="BJ63" s="317"/>
      <c r="BK63" s="317"/>
      <c r="BL63" s="317"/>
      <c r="BM63" s="317"/>
      <c r="BN63" s="317"/>
      <c r="BO63" s="317"/>
      <c r="BP63" s="317"/>
      <c r="BQ63" s="317"/>
      <c r="BR63" s="317"/>
      <c r="BS63" s="317"/>
      <c r="BT63" s="317"/>
      <c r="BU63" s="317"/>
      <c r="BV63" s="317"/>
      <c r="BW63" s="317"/>
      <c r="BX63" s="317"/>
      <c r="BY63" s="317"/>
      <c r="BZ63" s="317"/>
      <c r="CA63" s="317"/>
      <c r="CB63" s="317"/>
      <c r="CC63" s="317"/>
      <c r="CD63" s="317"/>
      <c r="CE63" s="317"/>
      <c r="CF63" s="317"/>
      <c r="CG63" s="317"/>
      <c r="CH63" s="317"/>
      <c r="CI63" s="317"/>
      <c r="CJ63" s="317"/>
    </row>
    <row r="64" spans="1:88" s="331" customFormat="1" ht="15">
      <c r="A64" s="326"/>
      <c r="B64" s="859"/>
      <c r="C64" s="832"/>
      <c r="D64" s="832"/>
      <c r="E64" s="886"/>
      <c r="F64" s="832"/>
      <c r="G64" s="859"/>
      <c r="H64" s="859"/>
      <c r="I64" s="832"/>
      <c r="J64" s="859"/>
      <c r="K64" s="832"/>
      <c r="L64" s="832"/>
      <c r="M64" s="886"/>
      <c r="N64" s="893"/>
      <c r="O64" s="872"/>
      <c r="P64" s="859"/>
      <c r="Q64" s="832"/>
      <c r="R64" s="859"/>
      <c r="S64" s="832"/>
      <c r="T64" s="832"/>
      <c r="U64" s="886"/>
      <c r="V64" s="893"/>
      <c r="W64" s="872"/>
      <c r="X64" s="859"/>
      <c r="Y64" s="832"/>
      <c r="Z64" s="859"/>
      <c r="AA64" s="832"/>
      <c r="AB64" s="832"/>
      <c r="AC64" s="886"/>
      <c r="AD64" s="893"/>
      <c r="AE64" s="872"/>
      <c r="AF64" s="859"/>
      <c r="AG64" s="317"/>
      <c r="AH64" s="317"/>
      <c r="AI64" s="317"/>
      <c r="AJ64" s="317"/>
      <c r="AK64" s="317"/>
      <c r="AL64" s="317"/>
      <c r="AM64" s="317"/>
      <c r="AN64" s="317"/>
      <c r="AO64" s="317"/>
      <c r="AP64" s="317"/>
      <c r="AQ64" s="317"/>
      <c r="AR64" s="317"/>
      <c r="AS64" s="317"/>
      <c r="AT64" s="317"/>
      <c r="AU64" s="317"/>
      <c r="AV64" s="317"/>
      <c r="AW64" s="317"/>
      <c r="AX64" s="317"/>
      <c r="AY64" s="317"/>
      <c r="AZ64" s="317"/>
      <c r="BA64" s="317"/>
      <c r="BB64" s="317"/>
      <c r="BC64" s="317"/>
      <c r="BD64" s="317"/>
      <c r="BE64" s="317"/>
      <c r="BF64" s="317"/>
      <c r="BG64" s="317"/>
      <c r="BH64" s="317"/>
      <c r="BI64" s="317"/>
      <c r="BJ64" s="317"/>
      <c r="BK64" s="317"/>
      <c r="BL64" s="317"/>
      <c r="BM64" s="317"/>
      <c r="BN64" s="317"/>
      <c r="BO64" s="317"/>
      <c r="BP64" s="317"/>
      <c r="BQ64" s="317"/>
      <c r="BR64" s="317"/>
      <c r="BS64" s="317"/>
      <c r="BT64" s="317"/>
      <c r="BU64" s="317"/>
      <c r="BV64" s="317"/>
      <c r="BW64" s="317"/>
      <c r="BX64" s="317"/>
      <c r="BY64" s="317"/>
      <c r="BZ64" s="317"/>
      <c r="CA64" s="317"/>
      <c r="CB64" s="317"/>
      <c r="CC64" s="317"/>
      <c r="CD64" s="317"/>
      <c r="CE64" s="317"/>
      <c r="CF64" s="317"/>
      <c r="CG64" s="317"/>
      <c r="CH64" s="317"/>
      <c r="CI64" s="317"/>
      <c r="CJ64" s="317"/>
    </row>
    <row r="65" spans="1:88" s="331" customFormat="1" ht="15">
      <c r="A65" s="326"/>
      <c r="B65" s="859"/>
      <c r="C65" s="832"/>
      <c r="D65" s="832"/>
      <c r="E65" s="886"/>
      <c r="F65" s="832"/>
      <c r="G65" s="859"/>
      <c r="H65" s="859"/>
      <c r="I65" s="832"/>
      <c r="J65" s="859"/>
      <c r="K65" s="832"/>
      <c r="L65" s="832"/>
      <c r="M65" s="886"/>
      <c r="N65" s="893"/>
      <c r="O65" s="872"/>
      <c r="P65" s="859"/>
      <c r="Q65" s="832"/>
      <c r="R65" s="859"/>
      <c r="S65" s="832"/>
      <c r="T65" s="832"/>
      <c r="U65" s="886"/>
      <c r="V65" s="893"/>
      <c r="W65" s="872"/>
      <c r="X65" s="859"/>
      <c r="Y65" s="832"/>
      <c r="Z65" s="859"/>
      <c r="AA65" s="832"/>
      <c r="AB65" s="832"/>
      <c r="AC65" s="886"/>
      <c r="AD65" s="893"/>
      <c r="AE65" s="872"/>
      <c r="AF65" s="859"/>
      <c r="AG65" s="317"/>
      <c r="AH65" s="317"/>
      <c r="AI65" s="317"/>
      <c r="AJ65" s="317"/>
      <c r="AK65" s="317"/>
      <c r="AL65" s="317"/>
      <c r="AM65" s="317"/>
      <c r="AN65" s="317"/>
      <c r="AO65" s="317"/>
      <c r="AP65" s="317"/>
      <c r="AQ65" s="317"/>
      <c r="AR65" s="317"/>
      <c r="AS65" s="317"/>
      <c r="AT65" s="317"/>
      <c r="AU65" s="317"/>
      <c r="AV65" s="317"/>
      <c r="AW65" s="317"/>
      <c r="AX65" s="317"/>
      <c r="AY65" s="317"/>
      <c r="AZ65" s="317"/>
      <c r="BA65" s="317"/>
      <c r="BB65" s="317"/>
      <c r="BC65" s="317"/>
      <c r="BD65" s="317"/>
      <c r="BE65" s="317"/>
      <c r="BF65" s="317"/>
      <c r="BG65" s="317"/>
      <c r="BH65" s="317"/>
      <c r="BI65" s="317"/>
      <c r="BJ65" s="317"/>
      <c r="BK65" s="317"/>
      <c r="BL65" s="317"/>
      <c r="BM65" s="317"/>
      <c r="BN65" s="317"/>
      <c r="BO65" s="317"/>
      <c r="BP65" s="317"/>
      <c r="BQ65" s="317"/>
      <c r="BR65" s="317"/>
      <c r="BS65" s="317"/>
      <c r="BT65" s="317"/>
      <c r="BU65" s="317"/>
      <c r="BV65" s="317"/>
      <c r="BW65" s="317"/>
      <c r="BX65" s="317"/>
      <c r="BY65" s="317"/>
      <c r="BZ65" s="317"/>
      <c r="CA65" s="317"/>
      <c r="CB65" s="317"/>
      <c r="CC65" s="317"/>
      <c r="CD65" s="317"/>
      <c r="CE65" s="317"/>
      <c r="CF65" s="317"/>
      <c r="CG65" s="317"/>
      <c r="CH65" s="317"/>
      <c r="CI65" s="317"/>
      <c r="CJ65" s="317"/>
    </row>
    <row r="66" spans="1:88" s="331" customFormat="1" ht="15.75" thickBot="1">
      <c r="A66" s="326"/>
      <c r="B66" s="859"/>
      <c r="C66" s="832"/>
      <c r="D66" s="832"/>
      <c r="E66" s="886"/>
      <c r="F66" s="832"/>
      <c r="G66" s="859"/>
      <c r="H66" s="859"/>
      <c r="I66" s="832"/>
      <c r="J66" s="859"/>
      <c r="K66" s="832"/>
      <c r="L66" s="832"/>
      <c r="M66" s="886"/>
      <c r="N66" s="893"/>
      <c r="O66" s="872"/>
      <c r="P66" s="859"/>
      <c r="Q66" s="832"/>
      <c r="R66" s="859"/>
      <c r="S66" s="832"/>
      <c r="T66" s="832"/>
      <c r="U66" s="886"/>
      <c r="V66" s="893"/>
      <c r="W66" s="872"/>
      <c r="X66" s="859"/>
      <c r="Y66" s="832"/>
      <c r="Z66" s="859"/>
      <c r="AA66" s="832"/>
      <c r="AB66" s="832"/>
      <c r="AC66" s="886"/>
      <c r="AD66" s="893"/>
      <c r="AE66" s="872"/>
      <c r="AF66" s="859"/>
      <c r="AG66" s="317"/>
      <c r="AH66" s="317"/>
      <c r="AI66" s="317"/>
      <c r="AJ66" s="317"/>
      <c r="AK66" s="317"/>
      <c r="AL66" s="317"/>
      <c r="AM66" s="317"/>
      <c r="AN66" s="317"/>
      <c r="AO66" s="317"/>
      <c r="AP66" s="317"/>
      <c r="AQ66" s="317"/>
      <c r="AR66" s="317"/>
      <c r="AS66" s="317"/>
      <c r="AT66" s="317"/>
      <c r="AU66" s="317"/>
      <c r="AV66" s="317"/>
      <c r="AW66" s="317"/>
      <c r="AX66" s="317"/>
      <c r="AY66" s="317"/>
      <c r="AZ66" s="317"/>
      <c r="BA66" s="317"/>
      <c r="BB66" s="317"/>
      <c r="BC66" s="317"/>
      <c r="BD66" s="317"/>
      <c r="BE66" s="317"/>
      <c r="BF66" s="317"/>
      <c r="BG66" s="317"/>
      <c r="BH66" s="317"/>
      <c r="BI66" s="317"/>
      <c r="BJ66" s="317"/>
      <c r="BK66" s="317"/>
      <c r="BL66" s="317"/>
      <c r="BM66" s="317"/>
      <c r="BN66" s="317"/>
      <c r="BO66" s="317"/>
      <c r="BP66" s="317"/>
      <c r="BQ66" s="317"/>
      <c r="BR66" s="317"/>
      <c r="BS66" s="317"/>
      <c r="BT66" s="317"/>
      <c r="BU66" s="317"/>
      <c r="BV66" s="317"/>
      <c r="BW66" s="317"/>
      <c r="BX66" s="317"/>
      <c r="BY66" s="317"/>
      <c r="BZ66" s="317"/>
      <c r="CA66" s="317"/>
      <c r="CB66" s="317"/>
      <c r="CC66" s="317"/>
      <c r="CD66" s="317"/>
      <c r="CE66" s="317"/>
      <c r="CF66" s="317"/>
      <c r="CG66" s="317"/>
      <c r="CH66" s="317"/>
      <c r="CI66" s="317"/>
      <c r="CJ66" s="317"/>
    </row>
    <row r="67" spans="1:88" s="331" customFormat="1" ht="16.5" thickBot="1">
      <c r="A67" s="330" t="s">
        <v>557</v>
      </c>
      <c r="B67" s="887"/>
      <c r="C67" s="887"/>
      <c r="D67" s="888"/>
      <c r="E67" s="888"/>
      <c r="F67" s="888"/>
      <c r="G67" s="888"/>
      <c r="H67" s="889"/>
      <c r="I67" s="330" t="s">
        <v>557</v>
      </c>
      <c r="J67" s="888"/>
      <c r="K67" s="888"/>
      <c r="L67" s="888"/>
      <c r="M67" s="888"/>
      <c r="N67" s="888"/>
      <c r="O67" s="1027"/>
      <c r="P67" s="1028"/>
      <c r="Q67" s="330" t="s">
        <v>557</v>
      </c>
      <c r="R67" s="888"/>
      <c r="S67" s="888"/>
      <c r="T67" s="888"/>
      <c r="U67" s="888"/>
      <c r="V67" s="888"/>
      <c r="W67" s="1027"/>
      <c r="X67" s="1028"/>
      <c r="Y67" s="330" t="s">
        <v>557</v>
      </c>
      <c r="Z67" s="888"/>
      <c r="AA67" s="888"/>
      <c r="AB67" s="888"/>
      <c r="AC67" s="888"/>
      <c r="AD67" s="888"/>
      <c r="AE67" s="1027"/>
      <c r="AF67" s="1028"/>
      <c r="AG67" s="317"/>
      <c r="AH67" s="317"/>
      <c r="AI67" s="317"/>
      <c r="AJ67" s="317"/>
      <c r="AK67" s="317"/>
      <c r="AL67" s="317"/>
      <c r="AM67" s="317"/>
      <c r="AN67" s="317"/>
      <c r="AO67" s="317"/>
      <c r="AP67" s="317"/>
      <c r="AQ67" s="317"/>
      <c r="AR67" s="317"/>
      <c r="AS67" s="317"/>
      <c r="AT67" s="317"/>
      <c r="AU67" s="317"/>
      <c r="AV67" s="317"/>
      <c r="AW67" s="317"/>
      <c r="AX67" s="317"/>
      <c r="AY67" s="317"/>
      <c r="AZ67" s="317"/>
      <c r="BA67" s="317"/>
      <c r="BB67" s="317"/>
      <c r="BC67" s="317"/>
      <c r="BD67" s="317"/>
      <c r="BE67" s="317"/>
      <c r="BF67" s="317"/>
      <c r="BG67" s="317"/>
      <c r="BH67" s="317"/>
      <c r="BI67" s="317"/>
      <c r="BJ67" s="317"/>
      <c r="BK67" s="317"/>
      <c r="BL67" s="317"/>
      <c r="BM67" s="317"/>
      <c r="BN67" s="317"/>
      <c r="BO67" s="317"/>
      <c r="BP67" s="317"/>
      <c r="BQ67" s="317"/>
      <c r="BR67" s="317"/>
      <c r="BS67" s="317"/>
      <c r="BT67" s="317"/>
      <c r="BU67" s="317"/>
      <c r="BV67" s="317"/>
      <c r="BW67" s="317"/>
      <c r="BX67" s="317"/>
      <c r="BY67" s="317"/>
      <c r="BZ67" s="317"/>
      <c r="CA67" s="317"/>
      <c r="CB67" s="317"/>
      <c r="CC67" s="317"/>
      <c r="CD67" s="317"/>
      <c r="CE67" s="317"/>
      <c r="CF67" s="317"/>
      <c r="CG67" s="317"/>
      <c r="CH67" s="317"/>
      <c r="CI67" s="317"/>
      <c r="CJ67" s="317"/>
    </row>
    <row r="68" spans="1:88" s="317" customFormat="1">
      <c r="A68" s="1031"/>
      <c r="B68" s="1284" t="s">
        <v>513</v>
      </c>
      <c r="C68" s="1450" t="s">
        <v>551</v>
      </c>
      <c r="D68" s="1451"/>
      <c r="E68" s="1452"/>
      <c r="F68" s="1451" t="s">
        <v>528</v>
      </c>
      <c r="G68" s="1451"/>
      <c r="H68" s="1452"/>
      <c r="I68" s="1031"/>
      <c r="J68" s="1284" t="s">
        <v>513</v>
      </c>
      <c r="K68" s="1450" t="s">
        <v>551</v>
      </c>
      <c r="L68" s="1451"/>
      <c r="M68" s="1452"/>
      <c r="N68" s="1451" t="s">
        <v>528</v>
      </c>
      <c r="O68" s="1451"/>
      <c r="P68" s="1452"/>
      <c r="Q68" s="1031"/>
      <c r="R68" s="1284" t="s">
        <v>513</v>
      </c>
      <c r="S68" s="1450" t="s">
        <v>551</v>
      </c>
      <c r="T68" s="1451"/>
      <c r="U68" s="1452"/>
      <c r="V68" s="1451" t="s">
        <v>528</v>
      </c>
      <c r="W68" s="1451"/>
      <c r="X68" s="1452"/>
      <c r="Y68" s="1031"/>
      <c r="Z68" s="1284" t="s">
        <v>513</v>
      </c>
      <c r="AA68" s="1450" t="s">
        <v>551</v>
      </c>
      <c r="AB68" s="1451"/>
      <c r="AC68" s="1452"/>
      <c r="AD68" s="1451" t="s">
        <v>528</v>
      </c>
      <c r="AE68" s="1451"/>
      <c r="AF68" s="1452"/>
    </row>
    <row r="69" spans="1:88" s="317" customFormat="1">
      <c r="A69" s="1032"/>
      <c r="B69" s="1033" t="s">
        <v>538</v>
      </c>
      <c r="C69" s="1034" t="s">
        <v>539</v>
      </c>
      <c r="D69" s="1033" t="s">
        <v>540</v>
      </c>
      <c r="E69" s="1035"/>
      <c r="F69" s="1033" t="s">
        <v>553</v>
      </c>
      <c r="G69" s="1033"/>
      <c r="H69" s="1036"/>
      <c r="I69" s="1032"/>
      <c r="J69" s="1033" t="s">
        <v>538</v>
      </c>
      <c r="K69" s="1034" t="s">
        <v>539</v>
      </c>
      <c r="L69" s="1033" t="s">
        <v>540</v>
      </c>
      <c r="M69" s="1035"/>
      <c r="N69" s="1033" t="s">
        <v>553</v>
      </c>
      <c r="O69" s="1033"/>
      <c r="P69" s="1036"/>
      <c r="Q69" s="1032"/>
      <c r="R69" s="1033" t="s">
        <v>538</v>
      </c>
      <c r="S69" s="1034" t="s">
        <v>539</v>
      </c>
      <c r="T69" s="1033" t="s">
        <v>540</v>
      </c>
      <c r="U69" s="1035"/>
      <c r="V69" s="1033" t="s">
        <v>553</v>
      </c>
      <c r="W69" s="1033"/>
      <c r="X69" s="1036"/>
      <c r="Y69" s="1032"/>
      <c r="Z69" s="1033" t="s">
        <v>538</v>
      </c>
      <c r="AA69" s="1034" t="s">
        <v>539</v>
      </c>
      <c r="AB69" s="1033" t="s">
        <v>540</v>
      </c>
      <c r="AC69" s="1035"/>
      <c r="AD69" s="1033" t="s">
        <v>553</v>
      </c>
      <c r="AE69" s="1033"/>
      <c r="AF69" s="1036"/>
    </row>
    <row r="70" spans="1:88" s="317" customFormat="1">
      <c r="A70" s="972" t="s">
        <v>507</v>
      </c>
      <c r="B70" s="985">
        <f>+B3</f>
        <v>0</v>
      </c>
      <c r="C70" s="1037"/>
      <c r="D70" s="987"/>
      <c r="E70" s="988" t="s">
        <v>541</v>
      </c>
      <c r="F70" s="1038">
        <f>+ROUND(B70*+F71,-3)</f>
        <v>0</v>
      </c>
      <c r="G70" s="1039"/>
      <c r="H70" s="1040"/>
      <c r="I70" s="972" t="s">
        <v>555</v>
      </c>
      <c r="J70" s="985">
        <f>+J3</f>
        <v>0</v>
      </c>
      <c r="K70" s="1037"/>
      <c r="L70" s="987"/>
      <c r="M70" s="988" t="s">
        <v>541</v>
      </c>
      <c r="N70" s="1038">
        <f>+ROUND(J70*+N71,-3)</f>
        <v>0</v>
      </c>
      <c r="O70" s="1039"/>
      <c r="P70" s="1040"/>
      <c r="Q70" s="972" t="s">
        <v>555</v>
      </c>
      <c r="R70" s="985">
        <f>+R3</f>
        <v>0</v>
      </c>
      <c r="S70" s="1037"/>
      <c r="T70" s="987"/>
      <c r="U70" s="988" t="s">
        <v>541</v>
      </c>
      <c r="V70" s="1038">
        <f>+ROUND(R70*+V71,-3)</f>
        <v>0</v>
      </c>
      <c r="W70" s="1039"/>
      <c r="X70" s="1040"/>
      <c r="Y70" s="972" t="s">
        <v>555</v>
      </c>
      <c r="Z70" s="985">
        <f>+Z3</f>
        <v>0</v>
      </c>
      <c r="AA70" s="1037"/>
      <c r="AB70" s="987"/>
      <c r="AC70" s="988" t="s">
        <v>541</v>
      </c>
      <c r="AD70" s="1038">
        <f>+ROUND(Z70*+AD71,-3)</f>
        <v>0</v>
      </c>
      <c r="AE70" s="1039"/>
      <c r="AF70" s="1040"/>
    </row>
    <row r="71" spans="1:88" s="317" customFormat="1">
      <c r="A71" s="973"/>
      <c r="B71" s="987"/>
      <c r="C71" s="1041"/>
      <c r="D71" s="987"/>
      <c r="E71" s="990" t="s">
        <v>542</v>
      </c>
      <c r="F71" s="1042">
        <f>+REFERENCE!T33</f>
        <v>0.01</v>
      </c>
      <c r="G71" s="1042"/>
      <c r="H71" s="1043"/>
      <c r="I71" s="973"/>
      <c r="J71" s="987"/>
      <c r="K71" s="1041"/>
      <c r="L71" s="987"/>
      <c r="M71" s="990" t="s">
        <v>542</v>
      </c>
      <c r="N71" s="1042">
        <f>REFERENCE!T33</f>
        <v>0.01</v>
      </c>
      <c r="O71" s="1042"/>
      <c r="P71" s="1043"/>
      <c r="Q71" s="973"/>
      <c r="R71" s="987"/>
      <c r="S71" s="1041"/>
      <c r="T71" s="987"/>
      <c r="U71" s="990" t="s">
        <v>542</v>
      </c>
      <c r="V71" s="1042">
        <f>REFERENCE!T33</f>
        <v>0.01</v>
      </c>
      <c r="W71" s="1042"/>
      <c r="X71" s="1043"/>
      <c r="Y71" s="973"/>
      <c r="Z71" s="987"/>
      <c r="AA71" s="1041"/>
      <c r="AB71" s="987"/>
      <c r="AC71" s="990" t="s">
        <v>542</v>
      </c>
      <c r="AD71" s="1042">
        <f>REFERENCE!T33</f>
        <v>0.01</v>
      </c>
      <c r="AE71" s="1042"/>
      <c r="AF71" s="1043"/>
    </row>
    <row r="72" spans="1:88" s="317" customFormat="1">
      <c r="A72" s="972" t="s">
        <v>543</v>
      </c>
      <c r="B72" s="987">
        <f>B70-B71</f>
        <v>0</v>
      </c>
      <c r="C72" s="1041">
        <f>ROUND(IF(C2=1,E74,IF(C2=2,E75,IF(C2=3,E76,IF(C2=4,E77,IF(C2=5,E78))))),4)</f>
        <v>0</v>
      </c>
      <c r="D72" s="987">
        <f>ROUND((B72*C72),0-3)</f>
        <v>0</v>
      </c>
      <c r="E72" s="991"/>
      <c r="F72" s="1044"/>
      <c r="G72" s="1045"/>
      <c r="H72" s="1046"/>
      <c r="I72" s="972" t="s">
        <v>544</v>
      </c>
      <c r="J72" s="987">
        <f>J70</f>
        <v>0</v>
      </c>
      <c r="K72" s="1041">
        <f>ROUND(IF(K2=1,M74,IF(K2=2,M75,IF(K2=3,M76,IF(K2=4,M77,IF(K2=5,M78))))),4)</f>
        <v>0</v>
      </c>
      <c r="L72" s="987">
        <f>ROUND((J72*K72),0-3)</f>
        <v>0</v>
      </c>
      <c r="M72" s="991"/>
      <c r="N72" s="1044"/>
      <c r="O72" s="1045"/>
      <c r="P72" s="1046"/>
      <c r="Q72" s="972" t="s">
        <v>544</v>
      </c>
      <c r="R72" s="987">
        <f>R70</f>
        <v>0</v>
      </c>
      <c r="S72" s="1041">
        <f>ROUND(IF(S2=1,U74,IF(S2=2,U75,IF(S2=3,U76,IF(S2=4,U77,IF(S2=5,U78))))),4)</f>
        <v>0</v>
      </c>
      <c r="T72" s="987">
        <f>ROUND((R72*S72),0-3)</f>
        <v>0</v>
      </c>
      <c r="U72" s="991"/>
      <c r="V72" s="1044"/>
      <c r="W72" s="1045"/>
      <c r="X72" s="1046"/>
      <c r="Y72" s="972" t="s">
        <v>544</v>
      </c>
      <c r="Z72" s="987">
        <f>Z70</f>
        <v>0</v>
      </c>
      <c r="AA72" s="1041">
        <f>ROUND(IF(AA2=1,AC74,IF(AA2=2,AC75,IF(AA2=3,AC76,IF(AA2=4,AC77,IF(AA2=5,AC78))))),4)</f>
        <v>0</v>
      </c>
      <c r="AB72" s="987">
        <f>ROUND((Z72*AA72),0-3)</f>
        <v>0</v>
      </c>
      <c r="AC72" s="991"/>
      <c r="AD72" s="1044"/>
      <c r="AE72" s="1045"/>
      <c r="AF72" s="1046"/>
    </row>
    <row r="73" spans="1:88" s="317" customFormat="1">
      <c r="A73" s="974"/>
      <c r="B73" s="992"/>
      <c r="C73" s="1047"/>
      <c r="D73" s="992"/>
      <c r="E73" s="994"/>
      <c r="F73" s="1048"/>
      <c r="G73" s="1049"/>
      <c r="H73" s="1050"/>
      <c r="I73" s="974" t="s">
        <v>558</v>
      </c>
      <c r="J73" s="992">
        <f>J72*(1-0.01)</f>
        <v>0</v>
      </c>
      <c r="K73" s="1047">
        <f>K72-0.01</f>
        <v>-0.01</v>
      </c>
      <c r="L73" s="992">
        <f>ROUND((J73*K73),0-3)</f>
        <v>0</v>
      </c>
      <c r="M73" s="994"/>
      <c r="N73" s="1048"/>
      <c r="O73" s="1049"/>
      <c r="P73" s="1050"/>
      <c r="Q73" s="974" t="s">
        <v>558</v>
      </c>
      <c r="R73" s="992">
        <f>R72*(1-0.01)</f>
        <v>0</v>
      </c>
      <c r="S73" s="1047">
        <f>S72-0.01</f>
        <v>-0.01</v>
      </c>
      <c r="T73" s="992">
        <f>ROUND((R73*S73),0-3)</f>
        <v>0</v>
      </c>
      <c r="U73" s="994"/>
      <c r="V73" s="1048"/>
      <c r="W73" s="1049"/>
      <c r="X73" s="1050"/>
      <c r="Y73" s="974" t="s">
        <v>558</v>
      </c>
      <c r="Z73" s="992">
        <f>Z72*(1-0.01)</f>
        <v>0</v>
      </c>
      <c r="AA73" s="1047">
        <f>AA72-0.01</f>
        <v>-0.01</v>
      </c>
      <c r="AB73" s="992">
        <f>ROUND((Z73*AA73),0-3)</f>
        <v>0</v>
      </c>
      <c r="AC73" s="994"/>
      <c r="AD73" s="1048"/>
      <c r="AE73" s="1049"/>
      <c r="AF73" s="1050"/>
    </row>
    <row r="74" spans="1:88" s="317" customFormat="1">
      <c r="A74" s="972" t="s">
        <v>556</v>
      </c>
      <c r="B74" s="995">
        <f>+B4</f>
        <v>0</v>
      </c>
      <c r="C74" s="1041"/>
      <c r="D74" s="987"/>
      <c r="E74" s="996">
        <f>IF(B79=0,0,-0.0141226*LOG(B79)+0.171508)</f>
        <v>0</v>
      </c>
      <c r="F74" s="1038">
        <f>+ROUND(B74*+F75,-3)</f>
        <v>0</v>
      </c>
      <c r="G74" s="1039"/>
      <c r="H74" s="1040"/>
      <c r="I74" s="972" t="s">
        <v>556</v>
      </c>
      <c r="J74" s="995">
        <f>+J4</f>
        <v>0</v>
      </c>
      <c r="K74" s="1041"/>
      <c r="L74" s="987"/>
      <c r="M74" s="996">
        <f>IF(J79=0,0,-0.0141226*LOG(J79)+0.171508)</f>
        <v>0</v>
      </c>
      <c r="N74" s="1038">
        <f>+ROUND(J74*+N75,-3)</f>
        <v>0</v>
      </c>
      <c r="O74" s="1039"/>
      <c r="P74" s="1040"/>
      <c r="Q74" s="972" t="s">
        <v>556</v>
      </c>
      <c r="R74" s="995">
        <f>+R4</f>
        <v>0</v>
      </c>
      <c r="S74" s="1041"/>
      <c r="T74" s="987"/>
      <c r="U74" s="996">
        <f>IF(R79=0,0,-0.0141226*LOG(R79)+0.171508)</f>
        <v>0</v>
      </c>
      <c r="V74" s="1038">
        <f>+ROUND(R74*+V75,-3)</f>
        <v>0</v>
      </c>
      <c r="W74" s="1039"/>
      <c r="X74" s="1040"/>
      <c r="Y74" s="972" t="s">
        <v>556</v>
      </c>
      <c r="Z74" s="995">
        <f>+Z4</f>
        <v>0</v>
      </c>
      <c r="AA74" s="1041"/>
      <c r="AB74" s="987"/>
      <c r="AC74" s="996">
        <f>IF(Z79=0,0,-0.0141226*LOG(Z79)+0.171508)</f>
        <v>0</v>
      </c>
      <c r="AD74" s="1038">
        <f>+ROUND(Z74*+AD75,-3)</f>
        <v>0</v>
      </c>
      <c r="AE74" s="1039"/>
      <c r="AF74" s="1040"/>
    </row>
    <row r="75" spans="1:88" s="317" customFormat="1">
      <c r="A75" s="973"/>
      <c r="B75" s="987"/>
      <c r="C75" s="1041"/>
      <c r="D75" s="987"/>
      <c r="E75" s="996">
        <f>IF(B79=0,0,-0.0128776*LOG(B79)+0.1595783)</f>
        <v>0</v>
      </c>
      <c r="F75" s="1042">
        <f>+REFERENCE!V46</f>
        <v>0</v>
      </c>
      <c r="G75" s="1042"/>
      <c r="H75" s="1043"/>
      <c r="I75" s="973"/>
      <c r="J75" s="987"/>
      <c r="K75" s="1041"/>
      <c r="L75" s="987"/>
      <c r="M75" s="996">
        <f>IF(J79=0,0,-0.0128776*LOG(J79)+0.1595783)</f>
        <v>0</v>
      </c>
      <c r="N75" s="1042">
        <f>+[1]REFERENCE!V46</f>
        <v>0</v>
      </c>
      <c r="O75" s="1042"/>
      <c r="P75" s="1043"/>
      <c r="Q75" s="973"/>
      <c r="R75" s="987"/>
      <c r="S75" s="1041"/>
      <c r="T75" s="987"/>
      <c r="U75" s="996">
        <f>IF(R79=0,0,-0.0128776*LOG(R79)+0.1595783)</f>
        <v>0</v>
      </c>
      <c r="V75" s="1042">
        <f>REFERENCE!T46</f>
        <v>0</v>
      </c>
      <c r="W75" s="1042"/>
      <c r="X75" s="1043"/>
      <c r="Y75" s="973"/>
      <c r="Z75" s="987"/>
      <c r="AA75" s="1041"/>
      <c r="AB75" s="987"/>
      <c r="AC75" s="996">
        <f>IF(Z79=0,0,-0.0128776*LOG(Z79)+0.1595783)</f>
        <v>0</v>
      </c>
      <c r="AD75" s="1042">
        <f>REFERENCE!T46</f>
        <v>0</v>
      </c>
      <c r="AE75" s="1042"/>
      <c r="AF75" s="1043"/>
    </row>
    <row r="76" spans="1:88" s="317" customFormat="1">
      <c r="A76" s="972" t="s">
        <v>546</v>
      </c>
      <c r="B76" s="987">
        <f>B74-B75</f>
        <v>0</v>
      </c>
      <c r="C76" s="1041">
        <f>ROUND(IF(C2=1,E74+0.02,IF(C2=2,E75+0.02,IF(C2=3,E76+0.02,IF(C2=4,E77+0.02,IF(C2=5,E78+0.02))))),4)</f>
        <v>0</v>
      </c>
      <c r="D76" s="987">
        <f>ROUND((B76*C76),0-3)</f>
        <v>0</v>
      </c>
      <c r="E76" s="996">
        <f>IF(B79=0,0,-0.01224308*LOG(B79)+0.1514231)</f>
        <v>0</v>
      </c>
      <c r="F76" s="1044"/>
      <c r="G76" s="1045"/>
      <c r="H76" s="1046"/>
      <c r="I76" s="972" t="s">
        <v>547</v>
      </c>
      <c r="J76" s="987">
        <f>J74</f>
        <v>0</v>
      </c>
      <c r="K76" s="1041">
        <f>ROUND(IF(K2=1,M74+0.02,IF(K2=2,M75+0.02,IF(K2=3,M76+0.02,IF(K2=4,M77+0.02,IF(K2=5,M78+0.02))))),4)</f>
        <v>0</v>
      </c>
      <c r="L76" s="987">
        <f>ROUND((J76*K76),0-3)</f>
        <v>0</v>
      </c>
      <c r="M76" s="996">
        <f>IF(J79=0,0,-0.01224308*LOG(J79)+0.1514231)</f>
        <v>0</v>
      </c>
      <c r="N76" s="1044"/>
      <c r="O76" s="1045"/>
      <c r="P76" s="1046"/>
      <c r="Q76" s="972" t="s">
        <v>547</v>
      </c>
      <c r="R76" s="987">
        <f>R74</f>
        <v>0</v>
      </c>
      <c r="S76" s="1041">
        <f>ROUND(IF(S2=1,U74+0.02,IF(S2=2,U75+0.02,IF(S2=3,U76+0.02,IF(S2=4,U77+0.02,IF(S2=5,U78+0.02))))),4)</f>
        <v>0</v>
      </c>
      <c r="T76" s="987">
        <f>ROUND((R76*S76),0-3)</f>
        <v>0</v>
      </c>
      <c r="U76" s="996">
        <f>IF(R79=0,0,-0.01224308*LOG(R79)+0.1514231)</f>
        <v>0</v>
      </c>
      <c r="V76" s="1044"/>
      <c r="W76" s="1045"/>
      <c r="X76" s="1046"/>
      <c r="Y76" s="972" t="s">
        <v>547</v>
      </c>
      <c r="Z76" s="987">
        <f>Z74</f>
        <v>0</v>
      </c>
      <c r="AA76" s="1041">
        <f>ROUND(IF(AA2=1,AC74+0.02,IF(AA2=2,AC75+0.02,IF(AA2=3,AC76+0.02,IF(AA2=4,AC77+0.02,IF(AA2=5,AC78+0.02))))),4)</f>
        <v>0</v>
      </c>
      <c r="AB76" s="987">
        <f>ROUND((Z76*AA76),0-3)</f>
        <v>0</v>
      </c>
      <c r="AC76" s="996">
        <f>IF(Z79=0,0,-0.01224308*LOG(Z79)+0.1514231)</f>
        <v>0</v>
      </c>
      <c r="AD76" s="1044"/>
      <c r="AE76" s="1045"/>
      <c r="AF76" s="1046"/>
    </row>
    <row r="77" spans="1:88" s="317" customFormat="1">
      <c r="A77" s="973"/>
      <c r="B77" s="997"/>
      <c r="C77" s="1041"/>
      <c r="D77" s="987"/>
      <c r="E77" s="996">
        <f>IF(B79=0,0,-0.01134853*LOG(B79)+0.141839)</f>
        <v>0</v>
      </c>
      <c r="F77" s="1044"/>
      <c r="G77" s="1045"/>
      <c r="H77" s="1046"/>
      <c r="I77" s="973" t="s">
        <v>558</v>
      </c>
      <c r="J77" s="997">
        <f>J76*(1-0.01)</f>
        <v>0</v>
      </c>
      <c r="K77" s="1041">
        <f>K76-0.005</f>
        <v>-5.0000000000000001E-3</v>
      </c>
      <c r="L77" s="987">
        <f>ROUND((J77*K77),0-3)</f>
        <v>0</v>
      </c>
      <c r="M77" s="996">
        <f>IF(J79=0,0,-0.01134853*LOG(J79)+0.141839)</f>
        <v>0</v>
      </c>
      <c r="N77" s="1044"/>
      <c r="O77" s="1045"/>
      <c r="P77" s="1046"/>
      <c r="Q77" s="973" t="s">
        <v>558</v>
      </c>
      <c r="R77" s="997">
        <f>R76*(1-0.01)</f>
        <v>0</v>
      </c>
      <c r="S77" s="1041">
        <f>S76-0.005</f>
        <v>-5.0000000000000001E-3</v>
      </c>
      <c r="T77" s="987">
        <f>ROUND((R77*S77),0-3)</f>
        <v>0</v>
      </c>
      <c r="U77" s="996">
        <f>IF(R79=0,0,-0.01134853*LOG(R79)+0.141839)</f>
        <v>0</v>
      </c>
      <c r="V77" s="1044"/>
      <c r="W77" s="1045"/>
      <c r="X77" s="1046"/>
      <c r="Y77" s="973" t="s">
        <v>558</v>
      </c>
      <c r="Z77" s="997">
        <f>Z76*(1-0.01)</f>
        <v>0</v>
      </c>
      <c r="AA77" s="1041">
        <f>AA76-0.005</f>
        <v>-5.0000000000000001E-3</v>
      </c>
      <c r="AB77" s="987">
        <f>ROUND((Z77*AA77),0-3)</f>
        <v>0</v>
      </c>
      <c r="AC77" s="996">
        <f>IF(Z79=0,0,-0.01134853*LOG(Z79)+0.141839)</f>
        <v>0</v>
      </c>
      <c r="AD77" s="1044"/>
      <c r="AE77" s="1045"/>
      <c r="AF77" s="1046"/>
    </row>
    <row r="78" spans="1:88" ht="13.5" thickBot="1">
      <c r="A78" s="975"/>
      <c r="B78" s="998"/>
      <c r="C78" s="1052"/>
      <c r="D78" s="998"/>
      <c r="E78" s="1000">
        <f>IF(B79=0,0,-0.01065862*LOG(B79)+0.1334599)</f>
        <v>0</v>
      </c>
      <c r="F78" s="1053"/>
      <c r="G78" s="1054"/>
      <c r="H78" s="1055"/>
      <c r="I78" s="975"/>
      <c r="J78" s="998"/>
      <c r="K78" s="1052"/>
      <c r="L78" s="998"/>
      <c r="M78" s="1000">
        <f>IF(J79=0,0,-0.01065862*LOG(J79)+0.1334599)</f>
        <v>0</v>
      </c>
      <c r="N78" s="1053"/>
      <c r="O78" s="1054"/>
      <c r="P78" s="1055"/>
      <c r="Q78" s="975"/>
      <c r="R78" s="998"/>
      <c r="S78" s="1052"/>
      <c r="T78" s="998"/>
      <c r="U78" s="1000">
        <f>IF(R79=0,0,-0.01065862*LOG(R79)+0.1334599)</f>
        <v>0</v>
      </c>
      <c r="V78" s="1053"/>
      <c r="W78" s="1054"/>
      <c r="X78" s="1055"/>
      <c r="Y78" s="975"/>
      <c r="Z78" s="998"/>
      <c r="AA78" s="1052"/>
      <c r="AB78" s="998"/>
      <c r="AC78" s="1000">
        <f>IF(Z79=0,0,-0.01065862*LOG(Z79)+0.1334599)</f>
        <v>0</v>
      </c>
      <c r="AD78" s="1053"/>
      <c r="AE78" s="1054"/>
      <c r="AF78" s="1055"/>
    </row>
    <row r="79" spans="1:88">
      <c r="A79" s="1063" t="s">
        <v>548</v>
      </c>
      <c r="B79" s="1057">
        <f>B72+B76</f>
        <v>0</v>
      </c>
      <c r="C79" s="1058" t="e">
        <f>+D79/B79</f>
        <v>#DIV/0!</v>
      </c>
      <c r="D79" s="1059">
        <f>D72+D76</f>
        <v>0</v>
      </c>
      <c r="E79" s="1060"/>
      <c r="F79" s="1061">
        <f>SUM(F70:F78)</f>
        <v>0.01</v>
      </c>
      <c r="G79" s="1061"/>
      <c r="H79" s="1062"/>
      <c r="I79" s="1063" t="s">
        <v>549</v>
      </c>
      <c r="J79" s="1059">
        <f>J72+J76</f>
        <v>0</v>
      </c>
      <c r="K79" s="1064" t="e">
        <f>+L79/J79</f>
        <v>#DIV/0!</v>
      </c>
      <c r="L79" s="1059">
        <f>L73+L77</f>
        <v>0</v>
      </c>
      <c r="M79" s="1060"/>
      <c r="N79" s="1061">
        <f>SUM(N70:N78)</f>
        <v>0.01</v>
      </c>
      <c r="O79" s="1061"/>
      <c r="P79" s="1062"/>
      <c r="Q79" s="1063" t="s">
        <v>549</v>
      </c>
      <c r="R79" s="1059">
        <f>R72+R76</f>
        <v>0</v>
      </c>
      <c r="S79" s="1064" t="e">
        <f>+T79/R79</f>
        <v>#DIV/0!</v>
      </c>
      <c r="T79" s="1059">
        <f>T73+T77</f>
        <v>0</v>
      </c>
      <c r="U79" s="1060"/>
      <c r="V79" s="1061">
        <f>SUM(V70:V78)</f>
        <v>0.01</v>
      </c>
      <c r="W79" s="1061"/>
      <c r="X79" s="1062"/>
      <c r="Y79" s="1063" t="s">
        <v>549</v>
      </c>
      <c r="Z79" s="1059">
        <f>Z72+Z76</f>
        <v>0</v>
      </c>
      <c r="AA79" s="1064" t="e">
        <f>+AB79/Z79</f>
        <v>#DIV/0!</v>
      </c>
      <c r="AB79" s="1059">
        <f>AB73+AB77</f>
        <v>0</v>
      </c>
      <c r="AC79" s="1060"/>
      <c r="AD79" s="1061">
        <f>SUM(AD70:AD78)</f>
        <v>0.01</v>
      </c>
      <c r="AE79" s="1061"/>
      <c r="AF79" s="1062"/>
    </row>
    <row r="80" spans="1:88" ht="13.5" thickBot="1">
      <c r="A80" s="332"/>
      <c r="B80" s="1065">
        <f>SUM(B79)</f>
        <v>0</v>
      </c>
      <c r="C80" s="1066"/>
      <c r="D80" s="1066"/>
      <c r="E80" s="1066"/>
      <c r="F80" s="1067"/>
      <c r="G80" s="1066"/>
      <c r="H80" s="1068"/>
      <c r="I80" s="332"/>
      <c r="J80" s="1065">
        <f>SUM(J79)</f>
        <v>0</v>
      </c>
      <c r="K80" s="1066"/>
      <c r="L80" s="1066"/>
      <c r="M80" s="1066"/>
      <c r="N80" s="1067"/>
      <c r="O80" s="1066"/>
      <c r="P80" s="1068"/>
      <c r="Q80" s="332"/>
      <c r="R80" s="1065">
        <f>SUM(R79)</f>
        <v>0</v>
      </c>
      <c r="S80" s="1066" t="e">
        <f>SUM(S2:S79)</f>
        <v>#DIV/0!</v>
      </c>
      <c r="T80" s="1066"/>
      <c r="U80" s="1066"/>
      <c r="V80" s="1067"/>
      <c r="W80" s="1066"/>
      <c r="X80" s="1068"/>
      <c r="Y80" s="332"/>
      <c r="Z80" s="1065">
        <f>SUM(Z79)</f>
        <v>0</v>
      </c>
      <c r="AA80" s="1270"/>
      <c r="AB80" s="1268"/>
      <c r="AC80" s="1268"/>
      <c r="AD80" s="1268"/>
      <c r="AE80" s="1268"/>
      <c r="AF80" s="1269"/>
    </row>
    <row r="81" spans="1:88" s="331" customFormat="1" ht="15">
      <c r="A81" s="326"/>
      <c r="B81" s="859"/>
      <c r="C81" s="832"/>
      <c r="D81" s="832"/>
      <c r="E81" s="886"/>
      <c r="F81" s="832"/>
      <c r="G81" s="859"/>
      <c r="H81" s="859"/>
      <c r="I81" s="832"/>
      <c r="J81" s="859"/>
      <c r="K81" s="832"/>
      <c r="L81" s="832"/>
      <c r="M81" s="886"/>
      <c r="N81" s="893"/>
      <c r="O81" s="872"/>
      <c r="P81" s="859"/>
      <c r="Q81" s="832"/>
      <c r="R81" s="859"/>
      <c r="S81" s="832"/>
      <c r="T81" s="832"/>
      <c r="U81" s="886"/>
      <c r="V81" s="893"/>
      <c r="W81" s="872"/>
      <c r="X81" s="859"/>
      <c r="Y81" s="832"/>
      <c r="Z81" s="859"/>
      <c r="AA81" s="832"/>
      <c r="AB81" s="832"/>
      <c r="AC81" s="886"/>
      <c r="AD81" s="893"/>
      <c r="AE81" s="872"/>
      <c r="AF81" s="859"/>
      <c r="AG81" s="317"/>
      <c r="AH81" s="317"/>
      <c r="AI81" s="317"/>
      <c r="AJ81" s="317"/>
      <c r="AK81" s="317"/>
      <c r="AL81" s="317"/>
      <c r="AM81" s="317"/>
      <c r="AN81" s="317"/>
      <c r="AO81" s="317"/>
      <c r="AP81" s="317"/>
      <c r="AQ81" s="317"/>
      <c r="AR81" s="317"/>
      <c r="AS81" s="317"/>
      <c r="AT81" s="317"/>
      <c r="AU81" s="317"/>
      <c r="AV81" s="317"/>
      <c r="AW81" s="317"/>
      <c r="AX81" s="317"/>
      <c r="AY81" s="317"/>
      <c r="AZ81" s="317"/>
      <c r="BA81" s="317"/>
      <c r="BB81" s="317"/>
      <c r="BC81" s="317"/>
      <c r="BD81" s="317"/>
      <c r="BE81" s="317"/>
      <c r="BF81" s="317"/>
      <c r="BG81" s="317"/>
      <c r="BH81" s="317"/>
      <c r="BI81" s="317"/>
      <c r="BJ81" s="317"/>
      <c r="BK81" s="317"/>
      <c r="BL81" s="317"/>
      <c r="BM81" s="317"/>
      <c r="BN81" s="317"/>
      <c r="BO81" s="317"/>
      <c r="BP81" s="317"/>
      <c r="BQ81" s="317"/>
      <c r="BR81" s="317"/>
      <c r="BS81" s="317"/>
      <c r="BT81" s="317"/>
      <c r="BU81" s="317"/>
      <c r="BV81" s="317"/>
      <c r="BW81" s="317"/>
      <c r="BX81" s="317"/>
      <c r="BY81" s="317"/>
      <c r="BZ81" s="317"/>
      <c r="CA81" s="317"/>
      <c r="CB81" s="317"/>
      <c r="CC81" s="317"/>
      <c r="CD81" s="317"/>
      <c r="CE81" s="317"/>
      <c r="CF81" s="317"/>
      <c r="CG81" s="317"/>
      <c r="CH81" s="317"/>
      <c r="CI81" s="317"/>
      <c r="CJ81" s="317"/>
    </row>
    <row r="82" spans="1:88" s="331" customFormat="1" ht="15">
      <c r="A82" s="326"/>
      <c r="B82" s="859"/>
      <c r="C82" s="832"/>
      <c r="D82" s="832"/>
      <c r="E82" s="886"/>
      <c r="F82" s="832"/>
      <c r="G82" s="859"/>
      <c r="H82" s="859"/>
      <c r="I82" s="832"/>
      <c r="J82" s="859"/>
      <c r="K82" s="832"/>
      <c r="L82" s="832"/>
      <c r="M82" s="886"/>
      <c r="N82" s="893"/>
      <c r="O82" s="872"/>
      <c r="P82" s="859"/>
      <c r="Q82" s="832"/>
      <c r="R82" s="859"/>
      <c r="S82" s="832"/>
      <c r="T82" s="832"/>
      <c r="U82" s="886"/>
      <c r="V82" s="893"/>
      <c r="W82" s="872"/>
      <c r="X82" s="859"/>
      <c r="Y82" s="832"/>
      <c r="Z82" s="859"/>
      <c r="AA82" s="832"/>
      <c r="AB82" s="832"/>
      <c r="AC82" s="886"/>
      <c r="AD82" s="893"/>
      <c r="AE82" s="872"/>
      <c r="AF82" s="859"/>
      <c r="AG82" s="317"/>
      <c r="AH82" s="317"/>
      <c r="AI82" s="317"/>
      <c r="AJ82" s="317"/>
      <c r="AK82" s="317"/>
      <c r="AL82" s="317"/>
      <c r="AM82" s="317"/>
      <c r="AN82" s="317"/>
      <c r="AO82" s="317"/>
      <c r="AP82" s="317"/>
      <c r="AQ82" s="317"/>
      <c r="AR82" s="317"/>
      <c r="AS82" s="317"/>
      <c r="AT82" s="317"/>
      <c r="AU82" s="317"/>
      <c r="AV82" s="317"/>
      <c r="AW82" s="317"/>
      <c r="AX82" s="317"/>
      <c r="AY82" s="317"/>
      <c r="AZ82" s="317"/>
      <c r="BA82" s="317"/>
      <c r="BB82" s="317"/>
      <c r="BC82" s="317"/>
      <c r="BD82" s="317"/>
      <c r="BE82" s="317"/>
      <c r="BF82" s="317"/>
      <c r="BG82" s="317"/>
      <c r="BH82" s="317"/>
      <c r="BI82" s="317"/>
      <c r="BJ82" s="317"/>
      <c r="BK82" s="317"/>
      <c r="BL82" s="317"/>
      <c r="BM82" s="317"/>
      <c r="BN82" s="317"/>
      <c r="BO82" s="317"/>
      <c r="BP82" s="317"/>
      <c r="BQ82" s="317"/>
      <c r="BR82" s="317"/>
      <c r="BS82" s="317"/>
      <c r="BT82" s="317"/>
      <c r="BU82" s="317"/>
      <c r="BV82" s="317"/>
      <c r="BW82" s="317"/>
      <c r="BX82" s="317"/>
      <c r="BY82" s="317"/>
      <c r="BZ82" s="317"/>
      <c r="CA82" s="317"/>
      <c r="CB82" s="317"/>
      <c r="CC82" s="317"/>
      <c r="CD82" s="317"/>
      <c r="CE82" s="317"/>
      <c r="CF82" s="317"/>
      <c r="CG82" s="317"/>
      <c r="CH82" s="317"/>
      <c r="CI82" s="317"/>
      <c r="CJ82" s="317"/>
    </row>
    <row r="83" spans="1:88" s="331" customFormat="1" ht="15">
      <c r="A83" s="326"/>
      <c r="B83" s="859"/>
      <c r="C83" s="832"/>
      <c r="D83" s="832"/>
      <c r="E83" s="886"/>
      <c r="F83" s="832"/>
      <c r="G83" s="859"/>
      <c r="H83" s="859"/>
      <c r="I83" s="832"/>
      <c r="J83" s="859"/>
      <c r="K83" s="832"/>
      <c r="L83" s="832"/>
      <c r="M83" s="886"/>
      <c r="N83" s="893"/>
      <c r="O83" s="872"/>
      <c r="P83" s="859"/>
      <c r="Q83" s="832"/>
      <c r="R83" s="859"/>
      <c r="S83" s="832"/>
      <c r="T83" s="832"/>
      <c r="U83" s="886"/>
      <c r="V83" s="893"/>
      <c r="W83" s="872"/>
      <c r="X83" s="859"/>
      <c r="Y83" s="832"/>
      <c r="Z83" s="859"/>
      <c r="AA83" s="832"/>
      <c r="AB83" s="832"/>
      <c r="AC83" s="886"/>
      <c r="AD83" s="893"/>
      <c r="AE83" s="872"/>
      <c r="AF83" s="859"/>
      <c r="AG83" s="317"/>
      <c r="AH83" s="317"/>
      <c r="AI83" s="317"/>
      <c r="AJ83" s="317"/>
      <c r="AK83" s="317"/>
      <c r="AL83" s="317"/>
      <c r="AM83" s="317"/>
      <c r="AN83" s="317"/>
      <c r="AO83" s="317"/>
      <c r="AP83" s="317"/>
      <c r="AQ83" s="317"/>
      <c r="AR83" s="317"/>
      <c r="AS83" s="317"/>
      <c r="AT83" s="317"/>
      <c r="AU83" s="317"/>
      <c r="AV83" s="317"/>
      <c r="AW83" s="317"/>
      <c r="AX83" s="317"/>
      <c r="AY83" s="317"/>
      <c r="AZ83" s="317"/>
      <c r="BA83" s="317"/>
      <c r="BB83" s="317"/>
      <c r="BC83" s="317"/>
      <c r="BD83" s="317"/>
      <c r="BE83" s="317"/>
      <c r="BF83" s="317"/>
      <c r="BG83" s="317"/>
      <c r="BH83" s="317"/>
      <c r="BI83" s="317"/>
      <c r="BJ83" s="317"/>
      <c r="BK83" s="317"/>
      <c r="BL83" s="317"/>
      <c r="BM83" s="317"/>
      <c r="BN83" s="317"/>
      <c r="BO83" s="317"/>
      <c r="BP83" s="317"/>
      <c r="BQ83" s="317"/>
      <c r="BR83" s="317"/>
      <c r="BS83" s="317"/>
      <c r="BT83" s="317"/>
      <c r="BU83" s="317"/>
      <c r="BV83" s="317"/>
      <c r="BW83" s="317"/>
      <c r="BX83" s="317"/>
      <c r="BY83" s="317"/>
      <c r="BZ83" s="317"/>
      <c r="CA83" s="317"/>
      <c r="CB83" s="317"/>
      <c r="CC83" s="317"/>
      <c r="CD83" s="317"/>
      <c r="CE83" s="317"/>
      <c r="CF83" s="317"/>
      <c r="CG83" s="317"/>
      <c r="CH83" s="317"/>
      <c r="CI83" s="317"/>
      <c r="CJ83" s="317"/>
    </row>
    <row r="84" spans="1:88" s="331" customFormat="1" ht="15.75" thickBot="1">
      <c r="A84" s="326"/>
      <c r="B84" s="859"/>
      <c r="C84" s="832"/>
      <c r="D84" s="832"/>
      <c r="E84" s="886"/>
      <c r="F84" s="832"/>
      <c r="G84" s="859"/>
      <c r="H84" s="859"/>
      <c r="I84" s="832"/>
      <c r="J84" s="859"/>
      <c r="K84" s="832"/>
      <c r="L84" s="832"/>
      <c r="M84" s="886"/>
      <c r="N84" s="893"/>
      <c r="O84" s="872"/>
      <c r="P84" s="859"/>
      <c r="Q84" s="832"/>
      <c r="R84" s="859"/>
      <c r="S84" s="832"/>
      <c r="T84" s="832"/>
      <c r="U84" s="886"/>
      <c r="V84" s="893"/>
      <c r="W84" s="872"/>
      <c r="X84" s="859"/>
      <c r="Y84" s="832"/>
      <c r="Z84" s="859"/>
      <c r="AA84" s="832"/>
      <c r="AB84" s="832"/>
      <c r="AC84" s="886"/>
      <c r="AD84" s="893"/>
      <c r="AE84" s="872"/>
      <c r="AF84" s="859"/>
      <c r="AG84" s="317"/>
      <c r="AH84" s="317"/>
      <c r="AI84" s="317"/>
      <c r="AJ84" s="317"/>
      <c r="AK84" s="317"/>
      <c r="AL84" s="317"/>
      <c r="AM84" s="317"/>
      <c r="AN84" s="317"/>
      <c r="AO84" s="317"/>
      <c r="AP84" s="317"/>
      <c r="AQ84" s="317"/>
      <c r="AR84" s="317"/>
      <c r="AS84" s="317"/>
      <c r="AT84" s="317"/>
      <c r="AU84" s="317"/>
      <c r="AV84" s="317"/>
      <c r="AW84" s="317"/>
      <c r="AX84" s="317"/>
      <c r="AY84" s="317"/>
      <c r="AZ84" s="317"/>
      <c r="BA84" s="317"/>
      <c r="BB84" s="317"/>
      <c r="BC84" s="317"/>
      <c r="BD84" s="317"/>
      <c r="BE84" s="317"/>
      <c r="BF84" s="317"/>
      <c r="BG84" s="317"/>
      <c r="BH84" s="317"/>
      <c r="BI84" s="317"/>
      <c r="BJ84" s="317"/>
      <c r="BK84" s="317"/>
      <c r="BL84" s="317"/>
      <c r="BM84" s="317"/>
      <c r="BN84" s="317"/>
      <c r="BO84" s="317"/>
      <c r="BP84" s="317"/>
      <c r="BQ84" s="317"/>
      <c r="BR84" s="317"/>
      <c r="BS84" s="317"/>
      <c r="BT84" s="317"/>
      <c r="BU84" s="317"/>
      <c r="BV84" s="317"/>
      <c r="BW84" s="317"/>
      <c r="BX84" s="317"/>
      <c r="BY84" s="317"/>
      <c r="BZ84" s="317"/>
      <c r="CA84" s="317"/>
      <c r="CB84" s="317"/>
      <c r="CC84" s="317"/>
      <c r="CD84" s="317"/>
      <c r="CE84" s="317"/>
      <c r="CF84" s="317"/>
      <c r="CG84" s="317"/>
      <c r="CH84" s="317"/>
      <c r="CI84" s="317"/>
      <c r="CJ84" s="317"/>
    </row>
    <row r="85" spans="1:88" s="331" customFormat="1" ht="16.5" thickBot="1">
      <c r="A85" s="330" t="s">
        <v>559</v>
      </c>
      <c r="B85" s="887"/>
      <c r="C85" s="887"/>
      <c r="D85" s="888"/>
      <c r="E85" s="888"/>
      <c r="F85" s="888"/>
      <c r="G85" s="888"/>
      <c r="H85" s="889"/>
      <c r="I85" s="330" t="s">
        <v>559</v>
      </c>
      <c r="J85" s="888"/>
      <c r="K85" s="888"/>
      <c r="L85" s="888"/>
      <c r="M85" s="888"/>
      <c r="N85" s="888"/>
      <c r="O85" s="1027"/>
      <c r="P85" s="1028"/>
      <c r="Q85" s="330" t="s">
        <v>559</v>
      </c>
      <c r="R85" s="888"/>
      <c r="S85" s="888"/>
      <c r="T85" s="888"/>
      <c r="U85" s="888"/>
      <c r="V85" s="888"/>
      <c r="W85" s="1027"/>
      <c r="X85" s="1028"/>
      <c r="Y85" s="330" t="s">
        <v>559</v>
      </c>
      <c r="Z85" s="888"/>
      <c r="AA85" s="888"/>
      <c r="AB85" s="888"/>
      <c r="AC85" s="888"/>
      <c r="AD85" s="888"/>
      <c r="AE85" s="1027"/>
      <c r="AF85" s="1028"/>
      <c r="AG85" s="317"/>
      <c r="AH85" s="317"/>
      <c r="AI85" s="317"/>
      <c r="AJ85" s="317"/>
      <c r="AK85" s="317"/>
      <c r="AL85" s="317"/>
      <c r="AM85" s="317"/>
      <c r="AN85" s="317"/>
      <c r="AO85" s="317"/>
      <c r="AP85" s="317"/>
      <c r="AQ85" s="317"/>
      <c r="AR85" s="317"/>
      <c r="AS85" s="317"/>
      <c r="AT85" s="317"/>
      <c r="AU85" s="317"/>
      <c r="AV85" s="317"/>
      <c r="AW85" s="317"/>
      <c r="AX85" s="317"/>
      <c r="AY85" s="317"/>
      <c r="AZ85" s="317"/>
      <c r="BA85" s="317"/>
      <c r="BB85" s="317"/>
      <c r="BC85" s="317"/>
      <c r="BD85" s="317"/>
      <c r="BE85" s="317"/>
      <c r="BF85" s="317"/>
      <c r="BG85" s="317"/>
      <c r="BH85" s="317"/>
      <c r="BI85" s="317"/>
      <c r="BJ85" s="317"/>
      <c r="BK85" s="317"/>
      <c r="BL85" s="317"/>
      <c r="BM85" s="317"/>
      <c r="BN85" s="317"/>
      <c r="BO85" s="317"/>
      <c r="BP85" s="317"/>
      <c r="BQ85" s="317"/>
      <c r="BR85" s="317"/>
      <c r="BS85" s="317"/>
      <c r="BT85" s="317"/>
      <c r="BU85" s="317"/>
      <c r="BV85" s="317"/>
      <c r="BW85" s="317"/>
      <c r="BX85" s="317"/>
      <c r="BY85" s="317"/>
      <c r="BZ85" s="317"/>
      <c r="CA85" s="317"/>
      <c r="CB85" s="317"/>
      <c r="CC85" s="317"/>
      <c r="CD85" s="317"/>
      <c r="CE85" s="317"/>
      <c r="CF85" s="317"/>
      <c r="CG85" s="317"/>
      <c r="CH85" s="317"/>
      <c r="CI85" s="317"/>
      <c r="CJ85" s="317"/>
    </row>
    <row r="86" spans="1:88" s="317" customFormat="1">
      <c r="A86" s="1031"/>
      <c r="B86" s="1284" t="s">
        <v>513</v>
      </c>
      <c r="C86" s="1450" t="s">
        <v>551</v>
      </c>
      <c r="D86" s="1451"/>
      <c r="E86" s="1452"/>
      <c r="F86" s="1450" t="s">
        <v>560</v>
      </c>
      <c r="G86" s="1451"/>
      <c r="H86" s="1452"/>
      <c r="I86" s="1031"/>
      <c r="J86" s="1284" t="s">
        <v>513</v>
      </c>
      <c r="K86" s="1450" t="s">
        <v>551</v>
      </c>
      <c r="L86" s="1451"/>
      <c r="M86" s="1452"/>
      <c r="N86" s="1450" t="s">
        <v>560</v>
      </c>
      <c r="O86" s="1451"/>
      <c r="P86" s="1452"/>
      <c r="Q86" s="1031"/>
      <c r="R86" s="1284" t="s">
        <v>513</v>
      </c>
      <c r="S86" s="1450" t="s">
        <v>551</v>
      </c>
      <c r="T86" s="1451"/>
      <c r="U86" s="1452"/>
      <c r="V86" s="1450" t="s">
        <v>560</v>
      </c>
      <c r="W86" s="1451"/>
      <c r="X86" s="1452"/>
      <c r="Y86" s="1031"/>
      <c r="Z86" s="1284" t="s">
        <v>513</v>
      </c>
      <c r="AA86" s="1450" t="s">
        <v>551</v>
      </c>
      <c r="AB86" s="1451"/>
      <c r="AC86" s="1452"/>
      <c r="AD86" s="1450" t="s">
        <v>560</v>
      </c>
      <c r="AE86" s="1451"/>
      <c r="AF86" s="1452"/>
    </row>
    <row r="87" spans="1:88" s="317" customFormat="1">
      <c r="A87" s="1032"/>
      <c r="B87" s="1033" t="s">
        <v>538</v>
      </c>
      <c r="C87" s="1034" t="s">
        <v>539</v>
      </c>
      <c r="D87" s="1033" t="s">
        <v>540</v>
      </c>
      <c r="E87" s="1035"/>
      <c r="F87" s="1033" t="s">
        <v>561</v>
      </c>
      <c r="G87" s="1033" t="s">
        <v>562</v>
      </c>
      <c r="H87" s="1036"/>
      <c r="I87" s="1032"/>
      <c r="J87" s="1033" t="s">
        <v>538</v>
      </c>
      <c r="K87" s="1034" t="s">
        <v>539</v>
      </c>
      <c r="L87" s="1033" t="s">
        <v>540</v>
      </c>
      <c r="M87" s="1035"/>
      <c r="N87" s="1033" t="s">
        <v>561</v>
      </c>
      <c r="O87" s="1033" t="s">
        <v>562</v>
      </c>
      <c r="P87" s="1036"/>
      <c r="Q87" s="1032"/>
      <c r="R87" s="1033" t="s">
        <v>538</v>
      </c>
      <c r="S87" s="1034" t="s">
        <v>539</v>
      </c>
      <c r="T87" s="1033" t="s">
        <v>540</v>
      </c>
      <c r="U87" s="1035"/>
      <c r="V87" s="1033" t="s">
        <v>561</v>
      </c>
      <c r="W87" s="1033" t="s">
        <v>562</v>
      </c>
      <c r="X87" s="1036"/>
      <c r="Y87" s="1032"/>
      <c r="Z87" s="1033" t="s">
        <v>538</v>
      </c>
      <c r="AA87" s="1034" t="s">
        <v>539</v>
      </c>
      <c r="AB87" s="1033" t="s">
        <v>540</v>
      </c>
      <c r="AC87" s="1035"/>
      <c r="AD87" s="1033" t="s">
        <v>561</v>
      </c>
      <c r="AE87" s="1033" t="s">
        <v>562</v>
      </c>
      <c r="AF87" s="1036"/>
    </row>
    <row r="88" spans="1:88" s="317" customFormat="1">
      <c r="A88" s="972" t="s">
        <v>507</v>
      </c>
      <c r="B88" s="985">
        <f>+B3</f>
        <v>0</v>
      </c>
      <c r="C88" s="1037"/>
      <c r="D88" s="987"/>
      <c r="E88" s="988"/>
      <c r="F88" s="1038">
        <f>+ROUND(B88*+F89,-3)</f>
        <v>0</v>
      </c>
      <c r="G88" s="1038">
        <f>+ROUND(B88*+G89,-3)</f>
        <v>0</v>
      </c>
      <c r="H88" s="1040"/>
      <c r="I88" s="972" t="s">
        <v>507</v>
      </c>
      <c r="J88" s="985">
        <f>+J3</f>
        <v>0</v>
      </c>
      <c r="K88" s="1037"/>
      <c r="L88" s="987"/>
      <c r="M88" s="988"/>
      <c r="N88" s="1038">
        <f>+ROUND(J88*+N89,-3)</f>
        <v>0</v>
      </c>
      <c r="O88" s="1038">
        <f>+ROUND(J88*+O89,-3)</f>
        <v>0</v>
      </c>
      <c r="P88" s="1040"/>
      <c r="Q88" s="972" t="s">
        <v>507</v>
      </c>
      <c r="R88" s="985">
        <f>+R3</f>
        <v>0</v>
      </c>
      <c r="S88" s="1037"/>
      <c r="T88" s="987"/>
      <c r="U88" s="988"/>
      <c r="V88" s="1038">
        <f>+ROUND(R88*+V89,-3)</f>
        <v>0</v>
      </c>
      <c r="W88" s="1038">
        <f>+ROUND(R88*+W89,-3)</f>
        <v>0</v>
      </c>
      <c r="X88" s="1040"/>
      <c r="Y88" s="972" t="s">
        <v>507</v>
      </c>
      <c r="Z88" s="985">
        <f>+Z3</f>
        <v>0</v>
      </c>
      <c r="AA88" s="1037"/>
      <c r="AB88" s="987"/>
      <c r="AC88" s="988"/>
      <c r="AD88" s="1038">
        <f>+ROUND(Z88*+AD89,-3)</f>
        <v>0</v>
      </c>
      <c r="AE88" s="1038">
        <f>+ROUND(Z88*+AE89,-3)</f>
        <v>0</v>
      </c>
      <c r="AF88" s="1040"/>
    </row>
    <row r="89" spans="1:88" s="317" customFormat="1">
      <c r="A89" s="973"/>
      <c r="B89" s="987"/>
      <c r="C89" s="1041"/>
      <c r="D89" s="987"/>
      <c r="E89" s="990"/>
      <c r="F89" s="1042">
        <f>+REFERENCE!W33</f>
        <v>7.0000000000000007E-2</v>
      </c>
      <c r="G89" s="1042">
        <f>+REFERENCE!W34</f>
        <v>1.4999999999999999E-2</v>
      </c>
      <c r="H89" s="1043"/>
      <c r="I89" s="973"/>
      <c r="J89" s="987"/>
      <c r="K89" s="1041"/>
      <c r="L89" s="987"/>
      <c r="M89" s="990"/>
      <c r="N89" s="1042">
        <f>REFERENCE!W33</f>
        <v>7.0000000000000007E-2</v>
      </c>
      <c r="O89" s="1042">
        <f>+[1]REFERENCE!W34</f>
        <v>1.4999999999999999E-2</v>
      </c>
      <c r="P89" s="1043"/>
      <c r="Q89" s="973"/>
      <c r="R89" s="987"/>
      <c r="S89" s="1041"/>
      <c r="T89" s="987"/>
      <c r="U89" s="990"/>
      <c r="V89" s="1042">
        <f>REFERENCE!W33</f>
        <v>7.0000000000000007E-2</v>
      </c>
      <c r="W89" s="1042">
        <f>REFERENCE!W34</f>
        <v>1.4999999999999999E-2</v>
      </c>
      <c r="X89" s="1043"/>
      <c r="Y89" s="973"/>
      <c r="Z89" s="987"/>
      <c r="AA89" s="1041"/>
      <c r="AB89" s="987"/>
      <c r="AC89" s="990"/>
      <c r="AD89" s="1042">
        <f>REFERENCE!W33</f>
        <v>7.0000000000000007E-2</v>
      </c>
      <c r="AE89" s="1042">
        <f>REFERENCE!W34</f>
        <v>1.4999999999999999E-2</v>
      </c>
      <c r="AF89" s="1043"/>
    </row>
    <row r="90" spans="1:88" s="317" customFormat="1">
      <c r="A90" s="972" t="s">
        <v>543</v>
      </c>
      <c r="B90" s="987">
        <f>B88-B89</f>
        <v>0</v>
      </c>
      <c r="C90" s="1041"/>
      <c r="D90" s="987"/>
      <c r="E90" s="991"/>
      <c r="F90" s="1044"/>
      <c r="G90" s="1045"/>
      <c r="H90" s="1046"/>
      <c r="I90" s="972" t="s">
        <v>544</v>
      </c>
      <c r="J90" s="987">
        <f>J88</f>
        <v>0</v>
      </c>
      <c r="K90" s="1041"/>
      <c r="L90" s="987"/>
      <c r="M90" s="991"/>
      <c r="N90" s="1044"/>
      <c r="O90" s="1045"/>
      <c r="P90" s="1046"/>
      <c r="Q90" s="972" t="s">
        <v>544</v>
      </c>
      <c r="R90" s="987">
        <f>R88</f>
        <v>0</v>
      </c>
      <c r="S90" s="1041"/>
      <c r="T90" s="987"/>
      <c r="U90" s="991"/>
      <c r="V90" s="1044"/>
      <c r="W90" s="1045"/>
      <c r="X90" s="1046"/>
      <c r="Y90" s="972" t="s">
        <v>544</v>
      </c>
      <c r="Z90" s="987">
        <f>Z88</f>
        <v>0</v>
      </c>
      <c r="AA90" s="1041"/>
      <c r="AB90" s="987"/>
      <c r="AC90" s="991"/>
      <c r="AD90" s="1044"/>
      <c r="AE90" s="1045"/>
      <c r="AF90" s="1046"/>
    </row>
    <row r="91" spans="1:88" s="317" customFormat="1">
      <c r="A91" s="974"/>
      <c r="B91" s="992"/>
      <c r="C91" s="1047"/>
      <c r="D91" s="992"/>
      <c r="E91" s="994"/>
      <c r="F91" s="1048"/>
      <c r="G91" s="1049"/>
      <c r="H91" s="1050"/>
      <c r="I91" s="974"/>
      <c r="J91" s="992"/>
      <c r="K91" s="1047"/>
      <c r="L91" s="992"/>
      <c r="M91" s="994"/>
      <c r="N91" s="1048"/>
      <c r="O91" s="1049"/>
      <c r="P91" s="1050"/>
      <c r="Q91" s="974"/>
      <c r="R91" s="992"/>
      <c r="S91" s="1047"/>
      <c r="T91" s="992"/>
      <c r="U91" s="994"/>
      <c r="V91" s="1048"/>
      <c r="W91" s="1049"/>
      <c r="X91" s="1050"/>
      <c r="Y91" s="974"/>
      <c r="Z91" s="992"/>
      <c r="AA91" s="1047"/>
      <c r="AB91" s="992"/>
      <c r="AC91" s="994"/>
      <c r="AD91" s="1048"/>
      <c r="AE91" s="1049"/>
      <c r="AF91" s="1050"/>
    </row>
    <row r="92" spans="1:88" s="317" customFormat="1">
      <c r="A92" s="972" t="s">
        <v>556</v>
      </c>
      <c r="B92" s="995">
        <f>+B4</f>
        <v>0</v>
      </c>
      <c r="C92" s="1041"/>
      <c r="D92" s="987"/>
      <c r="E92" s="996"/>
      <c r="F92" s="1038">
        <f>+ROUND(B92*+F93,-3)</f>
        <v>0</v>
      </c>
      <c r="G92" s="1038">
        <f>+ROUND(B92*+G93,-3)</f>
        <v>0</v>
      </c>
      <c r="H92" s="1040"/>
      <c r="I92" s="972" t="s">
        <v>556</v>
      </c>
      <c r="J92" s="995">
        <f>+J4</f>
        <v>0</v>
      </c>
      <c r="K92" s="1041"/>
      <c r="L92" s="987"/>
      <c r="M92" s="1051"/>
      <c r="N92" s="1038">
        <f>+ROUND(J92*+N93,-3)</f>
        <v>0</v>
      </c>
      <c r="O92" s="1038">
        <f>+ROUND(J92*+O93,-3)</f>
        <v>0</v>
      </c>
      <c r="P92" s="1040"/>
      <c r="Q92" s="972" t="s">
        <v>556</v>
      </c>
      <c r="R92" s="995">
        <f>+R4</f>
        <v>0</v>
      </c>
      <c r="S92" s="1041"/>
      <c r="T92" s="987"/>
      <c r="U92" s="1051"/>
      <c r="V92" s="1038">
        <f>+ROUND(R92*+V93,-3)</f>
        <v>0</v>
      </c>
      <c r="W92" s="1038">
        <f>+ROUND(R92*+W93,-3)</f>
        <v>0</v>
      </c>
      <c r="X92" s="1040"/>
      <c r="Y92" s="972" t="s">
        <v>556</v>
      </c>
      <c r="Z92" s="995">
        <f>+Z4</f>
        <v>0</v>
      </c>
      <c r="AA92" s="1041"/>
      <c r="AB92" s="987"/>
      <c r="AC92" s="1051"/>
      <c r="AD92" s="1038">
        <f>+ROUND(Z92*+AD93,-3)</f>
        <v>0</v>
      </c>
      <c r="AE92" s="1038">
        <f>+ROUND(Z92*+AE93,-3)</f>
        <v>0</v>
      </c>
      <c r="AF92" s="1040"/>
    </row>
    <row r="93" spans="1:88" s="317" customFormat="1">
      <c r="A93" s="973"/>
      <c r="B93" s="987"/>
      <c r="C93" s="1041"/>
      <c r="D93" s="987"/>
      <c r="E93" s="996"/>
      <c r="F93" s="1042">
        <f>+REFERENCE!W46</f>
        <v>0</v>
      </c>
      <c r="G93" s="1042">
        <f>+REFERENCE!W47</f>
        <v>0</v>
      </c>
      <c r="H93" s="1043"/>
      <c r="I93" s="973"/>
      <c r="J93" s="987"/>
      <c r="K93" s="1041"/>
      <c r="L93" s="987"/>
      <c r="M93" s="1051"/>
      <c r="N93" s="1042">
        <f>REFERENCE!W46</f>
        <v>0</v>
      </c>
      <c r="O93" s="1042">
        <f>REFERENCE!W47</f>
        <v>0</v>
      </c>
      <c r="P93" s="1043"/>
      <c r="Q93" s="973"/>
      <c r="R93" s="987"/>
      <c r="S93" s="1041"/>
      <c r="T93" s="987"/>
      <c r="U93" s="1051"/>
      <c r="V93" s="1042">
        <f>REFERENCE!W46</f>
        <v>0</v>
      </c>
      <c r="W93" s="1042">
        <f>REFERENCE!W47</f>
        <v>0</v>
      </c>
      <c r="X93" s="1043"/>
      <c r="Y93" s="973"/>
      <c r="Z93" s="987"/>
      <c r="AA93" s="1041"/>
      <c r="AB93" s="987"/>
      <c r="AC93" s="1051"/>
      <c r="AD93" s="1042">
        <f>REFERENCE!W46</f>
        <v>0</v>
      </c>
      <c r="AE93" s="1042">
        <f>REFERENCE!W47</f>
        <v>0</v>
      </c>
      <c r="AF93" s="1043"/>
    </row>
    <row r="94" spans="1:88" s="317" customFormat="1">
      <c r="A94" s="972" t="s">
        <v>546</v>
      </c>
      <c r="B94" s="987">
        <f>B92-B93</f>
        <v>0</v>
      </c>
      <c r="C94" s="1041"/>
      <c r="D94" s="987"/>
      <c r="E94" s="996"/>
      <c r="F94" s="1044"/>
      <c r="G94" s="1045"/>
      <c r="H94" s="1046"/>
      <c r="I94" s="972" t="s">
        <v>547</v>
      </c>
      <c r="J94" s="987">
        <f>J92</f>
        <v>0</v>
      </c>
      <c r="K94" s="1041"/>
      <c r="L94" s="987"/>
      <c r="M94" s="1051"/>
      <c r="N94" s="1044"/>
      <c r="O94" s="1045"/>
      <c r="P94" s="1046"/>
      <c r="Q94" s="972" t="s">
        <v>547</v>
      </c>
      <c r="R94" s="987">
        <f>R92</f>
        <v>0</v>
      </c>
      <c r="S94" s="1041"/>
      <c r="T94" s="987"/>
      <c r="U94" s="1051"/>
      <c r="V94" s="1044"/>
      <c r="W94" s="1045"/>
      <c r="X94" s="1046"/>
      <c r="Y94" s="972" t="s">
        <v>547</v>
      </c>
      <c r="Z94" s="987">
        <f>Z92</f>
        <v>0</v>
      </c>
      <c r="AA94" s="1041"/>
      <c r="AB94" s="987"/>
      <c r="AC94" s="1051"/>
      <c r="AD94" s="1044"/>
      <c r="AE94" s="1045"/>
      <c r="AF94" s="1046"/>
    </row>
    <row r="95" spans="1:88" s="317" customFormat="1">
      <c r="A95" s="973"/>
      <c r="B95" s="997"/>
      <c r="C95" s="1041"/>
      <c r="D95" s="987"/>
      <c r="E95" s="996"/>
      <c r="F95" s="1044"/>
      <c r="G95" s="1045"/>
      <c r="H95" s="1046"/>
      <c r="I95" s="973"/>
      <c r="J95" s="997"/>
      <c r="K95" s="1041"/>
      <c r="L95" s="987"/>
      <c r="M95" s="1051"/>
      <c r="N95" s="1044"/>
      <c r="O95" s="1045"/>
      <c r="P95" s="1046"/>
      <c r="Q95" s="973"/>
      <c r="R95" s="997"/>
      <c r="S95" s="1041"/>
      <c r="T95" s="987"/>
      <c r="U95" s="1051"/>
      <c r="V95" s="1044"/>
      <c r="W95" s="1045"/>
      <c r="X95" s="1046"/>
      <c r="Y95" s="973"/>
      <c r="Z95" s="997"/>
      <c r="AA95" s="1041"/>
      <c r="AB95" s="987"/>
      <c r="AC95" s="1051"/>
      <c r="AD95" s="1044"/>
      <c r="AE95" s="1045"/>
      <c r="AF95" s="1046"/>
    </row>
    <row r="96" spans="1:88" ht="13.5" thickBot="1">
      <c r="A96" s="975"/>
      <c r="B96" s="998"/>
      <c r="C96" s="1052"/>
      <c r="D96" s="998"/>
      <c r="E96" s="1000"/>
      <c r="F96" s="1053"/>
      <c r="G96" s="1054"/>
      <c r="H96" s="1055"/>
      <c r="I96" s="975"/>
      <c r="J96" s="998"/>
      <c r="K96" s="1052"/>
      <c r="L96" s="998"/>
      <c r="M96" s="1056"/>
      <c r="N96" s="1053"/>
      <c r="O96" s="1054"/>
      <c r="P96" s="1055"/>
      <c r="Q96" s="975"/>
      <c r="R96" s="998"/>
      <c r="S96" s="1052"/>
      <c r="T96" s="998"/>
      <c r="U96" s="1056"/>
      <c r="V96" s="1053"/>
      <c r="W96" s="1054"/>
      <c r="X96" s="1055"/>
      <c r="Y96" s="975"/>
      <c r="Z96" s="998"/>
      <c r="AA96" s="1052"/>
      <c r="AB96" s="998"/>
      <c r="AC96" s="1056"/>
      <c r="AD96" s="1053"/>
      <c r="AE96" s="1054"/>
      <c r="AF96" s="1055"/>
    </row>
    <row r="97" spans="1:32" ht="13.5" thickBot="1">
      <c r="A97" s="1069" t="s">
        <v>548</v>
      </c>
      <c r="B97" s="1070">
        <f>B90+B94</f>
        <v>0</v>
      </c>
      <c r="C97" s="1071"/>
      <c r="D97" s="1072"/>
      <c r="E97" s="1073"/>
      <c r="F97" s="1074">
        <f>SUM(F88:F96)</f>
        <v>7.0000000000000007E-2</v>
      </c>
      <c r="G97" s="1074">
        <f>SUM(G88:G96)</f>
        <v>1.4999999999999999E-2</v>
      </c>
      <c r="H97" s="1075"/>
      <c r="I97" s="1069" t="s">
        <v>549</v>
      </c>
      <c r="J97" s="1072">
        <f>J90+J94</f>
        <v>0</v>
      </c>
      <c r="K97" s="1076"/>
      <c r="L97" s="1072"/>
      <c r="M97" s="1073"/>
      <c r="N97" s="1074">
        <f>SUM(N88:N96)</f>
        <v>7.0000000000000007E-2</v>
      </c>
      <c r="O97" s="1074">
        <f>SUM(O88:O96)</f>
        <v>1.4999999999999999E-2</v>
      </c>
      <c r="P97" s="1075"/>
      <c r="Q97" s="1069" t="s">
        <v>549</v>
      </c>
      <c r="R97" s="1072">
        <f>R90+R94</f>
        <v>0</v>
      </c>
      <c r="S97" s="1076"/>
      <c r="T97" s="1072"/>
      <c r="U97" s="1073"/>
      <c r="V97" s="1074">
        <f>SUM(V88:V96)</f>
        <v>7.0000000000000007E-2</v>
      </c>
      <c r="W97" s="1074">
        <f>SUM(W88:W96)</f>
        <v>1.4999999999999999E-2</v>
      </c>
      <c r="X97" s="1075"/>
      <c r="Y97" s="1069" t="s">
        <v>549</v>
      </c>
      <c r="Z97" s="1072">
        <f>Z90+Z94</f>
        <v>0</v>
      </c>
      <c r="AA97" s="1076"/>
      <c r="AB97" s="1072"/>
      <c r="AC97" s="1073"/>
      <c r="AD97" s="1074">
        <f>SUM(AD88:AD96)</f>
        <v>7.0000000000000007E-2</v>
      </c>
      <c r="AE97" s="1074">
        <f>SUM(AE88:AE96)</f>
        <v>1.4999999999999999E-2</v>
      </c>
      <c r="AF97" s="1075"/>
    </row>
    <row r="102" spans="1:32">
      <c r="C102" s="333"/>
      <c r="D102" s="333"/>
    </row>
    <row r="103" spans="1:32">
      <c r="F103" s="334"/>
      <c r="G103" s="334"/>
      <c r="H103" s="335"/>
    </row>
    <row r="104" spans="1:32">
      <c r="A104" s="334"/>
      <c r="B104" s="334"/>
      <c r="C104" s="334"/>
      <c r="D104" s="334"/>
      <c r="E104" s="334"/>
      <c r="F104" s="334"/>
      <c r="G104" s="334"/>
      <c r="H104" s="336"/>
    </row>
    <row r="105" spans="1:32">
      <c r="A105" s="334"/>
      <c r="B105" s="334"/>
      <c r="C105" s="334"/>
      <c r="D105" s="334"/>
      <c r="E105" s="334"/>
      <c r="F105" s="334"/>
      <c r="G105" s="334"/>
      <c r="H105" s="336"/>
    </row>
    <row r="106" spans="1:32">
      <c r="A106" s="337"/>
      <c r="B106" s="337"/>
      <c r="C106" s="337"/>
      <c r="D106" s="337"/>
      <c r="E106" s="337"/>
      <c r="F106" s="337"/>
      <c r="G106" s="334"/>
      <c r="H106" s="313"/>
    </row>
    <row r="107" spans="1:32" ht="15">
      <c r="A107" s="338"/>
      <c r="B107" s="338"/>
      <c r="C107" s="338"/>
      <c r="D107" s="338"/>
      <c r="E107" s="338"/>
      <c r="F107" s="338"/>
      <c r="G107" s="339"/>
      <c r="H107" s="340"/>
    </row>
    <row r="108" spans="1:32">
      <c r="A108" s="334"/>
      <c r="B108" s="334"/>
      <c r="C108" s="334"/>
      <c r="D108" s="334"/>
      <c r="E108" s="334"/>
      <c r="F108" s="334"/>
      <c r="G108" s="334"/>
      <c r="H108" s="336"/>
    </row>
    <row r="109" spans="1:32">
      <c r="A109" s="334"/>
      <c r="B109" s="334"/>
      <c r="C109" s="334"/>
      <c r="D109" s="334"/>
      <c r="E109" s="334"/>
      <c r="F109" s="334"/>
      <c r="G109" s="334"/>
      <c r="H109" s="336"/>
    </row>
    <row r="110" spans="1:32">
      <c r="A110" s="316"/>
      <c r="B110" s="316"/>
      <c r="C110" s="316"/>
      <c r="D110" s="316"/>
      <c r="E110" s="316"/>
      <c r="F110" s="316"/>
      <c r="G110" s="316"/>
      <c r="H110" s="316"/>
    </row>
    <row r="111" spans="1:32">
      <c r="A111" s="316"/>
      <c r="B111" s="316"/>
      <c r="C111" s="316"/>
      <c r="D111" s="316"/>
      <c r="E111" s="316"/>
      <c r="F111" s="316"/>
      <c r="G111" s="316"/>
      <c r="H111" s="316"/>
    </row>
  </sheetData>
  <mergeCells count="36">
    <mergeCell ref="O7:P7"/>
    <mergeCell ref="C7:D7"/>
    <mergeCell ref="E7:F7"/>
    <mergeCell ref="G7:H7"/>
    <mergeCell ref="K7:L7"/>
    <mergeCell ref="M7:N7"/>
    <mergeCell ref="C50:E50"/>
    <mergeCell ref="F50:H50"/>
    <mergeCell ref="C86:E86"/>
    <mergeCell ref="F86:H86"/>
    <mergeCell ref="C68:E68"/>
    <mergeCell ref="F68:H68"/>
    <mergeCell ref="K50:M50"/>
    <mergeCell ref="N50:P50"/>
    <mergeCell ref="K68:M68"/>
    <mergeCell ref="N68:P68"/>
    <mergeCell ref="K86:M86"/>
    <mergeCell ref="N86:P86"/>
    <mergeCell ref="S68:U68"/>
    <mergeCell ref="V68:X68"/>
    <mergeCell ref="S86:U86"/>
    <mergeCell ref="V86:X86"/>
    <mergeCell ref="AA7:AB7"/>
    <mergeCell ref="AA86:AC86"/>
    <mergeCell ref="S7:T7"/>
    <mergeCell ref="U7:V7"/>
    <mergeCell ref="W7:X7"/>
    <mergeCell ref="S50:U50"/>
    <mergeCell ref="V50:X50"/>
    <mergeCell ref="AD86:AF86"/>
    <mergeCell ref="AC7:AD7"/>
    <mergeCell ref="AE7:AF7"/>
    <mergeCell ref="AA50:AC50"/>
    <mergeCell ref="AD50:AF50"/>
    <mergeCell ref="AA68:AC68"/>
    <mergeCell ref="AD68:AF68"/>
  </mergeCells>
  <pageMargins left="0.7" right="0.7" top="0.75" bottom="0.75" header="0.3" footer="0.3"/>
  <pageSetup scale="38" orientation="portrait"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6">
    <pageSetUpPr fitToPage="1"/>
  </sheetPr>
  <dimension ref="B1:BI165"/>
  <sheetViews>
    <sheetView zoomScale="94" zoomScaleNormal="94" workbookViewId="0">
      <selection activeCell="J64" sqref="J64"/>
    </sheetView>
  </sheetViews>
  <sheetFormatPr defaultRowHeight="12.75"/>
  <cols>
    <col min="1" max="1" width="5.83203125" style="109" customWidth="1"/>
    <col min="2" max="2" width="9.5" style="109" bestFit="1" customWidth="1"/>
    <col min="3" max="3" width="9.33203125" style="109"/>
    <col min="4" max="4" width="10.6640625" style="109" customWidth="1"/>
    <col min="5" max="5" width="5.83203125" style="109" customWidth="1"/>
    <col min="6" max="6" width="9.33203125" style="109" customWidth="1"/>
    <col min="7" max="11" width="15.83203125" style="109" customWidth="1"/>
    <col min="12" max="12" width="9.33203125" style="109" customWidth="1"/>
    <col min="13" max="13" width="9.33203125" style="109"/>
    <col min="14" max="14" width="28.83203125" style="109" customWidth="1"/>
    <col min="15" max="15" width="10.33203125" style="109" customWidth="1"/>
    <col min="16" max="16" width="17.5" style="109" customWidth="1"/>
    <col min="17" max="17" width="15.33203125" style="109" customWidth="1"/>
    <col min="18" max="18" width="5" style="109" customWidth="1"/>
    <col min="19" max="19" width="51.33203125" style="109" customWidth="1"/>
    <col min="20" max="22" width="15.83203125" style="109" customWidth="1"/>
    <col min="23" max="24" width="16.1640625" style="109" customWidth="1"/>
    <col min="25" max="25" width="9.33203125" style="109"/>
    <col min="26" max="26" width="29.83203125" style="109" customWidth="1"/>
    <col min="27" max="27" width="12.83203125" style="109" customWidth="1"/>
    <col min="28" max="28" width="13.6640625" style="109" customWidth="1"/>
    <col min="29" max="29" width="13.83203125" style="109" customWidth="1"/>
    <col min="30" max="30" width="14.5" style="109" customWidth="1"/>
    <col min="31" max="31" width="15.33203125" style="109" customWidth="1"/>
    <col min="32" max="32" width="16.6640625" style="109" customWidth="1"/>
    <col min="33" max="33" width="12.83203125" style="109" customWidth="1"/>
    <col min="34" max="34" width="22.6640625" style="128" hidden="1" customWidth="1"/>
    <col min="35" max="35" width="9.33203125" style="109"/>
    <col min="36" max="36" width="29.33203125" style="109" hidden="1" customWidth="1"/>
    <col min="37" max="37" width="0" style="109" hidden="1" customWidth="1"/>
    <col min="38" max="38" width="12.83203125" style="109" hidden="1" customWidth="1"/>
    <col min="39" max="39" width="0" style="109" hidden="1" customWidth="1"/>
    <col min="40" max="40" width="15.6640625" style="109" hidden="1" customWidth="1"/>
    <col min="41" max="43" width="0" style="109" hidden="1" customWidth="1"/>
    <col min="44" max="44" width="9.83203125" style="109" hidden="1" customWidth="1"/>
    <col min="45" max="45" width="9.83203125" style="128" hidden="1" customWidth="1"/>
    <col min="46" max="46" width="17" style="128" hidden="1" customWidth="1"/>
    <col min="47" max="47" width="9.5" style="109" hidden="1" customWidth="1"/>
    <col min="48" max="48" width="20.33203125" style="109" hidden="1" customWidth="1"/>
    <col min="49" max="50" width="9.5" style="109" hidden="1" customWidth="1"/>
    <col min="51" max="51" width="9.83203125" style="109" hidden="1" customWidth="1"/>
    <col min="52" max="52" width="12.6640625" style="109" hidden="1" customWidth="1"/>
    <col min="53" max="53" width="0" style="109" hidden="1" customWidth="1"/>
    <col min="54" max="54" width="47.33203125" style="109" hidden="1" customWidth="1"/>
    <col min="55" max="55" width="15.6640625" style="128" hidden="1" customWidth="1"/>
    <col min="56" max="59" width="0" style="109" hidden="1" customWidth="1"/>
    <col min="60" max="16384" width="9.33203125" style="109"/>
  </cols>
  <sheetData>
    <row r="1" spans="2:61">
      <c r="N1" s="189"/>
      <c r="O1" s="189"/>
      <c r="P1" s="189"/>
      <c r="Q1" s="189"/>
      <c r="R1" s="189"/>
      <c r="S1" s="189"/>
      <c r="T1" s="189"/>
      <c r="U1" s="189"/>
      <c r="V1" s="189"/>
      <c r="W1" s="189"/>
      <c r="X1" s="915"/>
      <c r="Z1" s="493">
        <v>1</v>
      </c>
      <c r="AA1" s="493">
        <f t="shared" ref="AA1:AH1" si="0">+Z1+1</f>
        <v>2</v>
      </c>
      <c r="AB1" s="493">
        <f t="shared" si="0"/>
        <v>3</v>
      </c>
      <c r="AC1" s="493">
        <f>+AB1+1</f>
        <v>4</v>
      </c>
      <c r="AD1" s="493">
        <f>+AC1+1</f>
        <v>5</v>
      </c>
      <c r="AE1" s="493">
        <f t="shared" si="0"/>
        <v>6</v>
      </c>
      <c r="AF1" s="493">
        <f t="shared" si="0"/>
        <v>7</v>
      </c>
      <c r="AG1" s="493">
        <f t="shared" si="0"/>
        <v>8</v>
      </c>
      <c r="AH1" s="493">
        <f t="shared" si="0"/>
        <v>9</v>
      </c>
      <c r="AS1" s="493">
        <v>1</v>
      </c>
      <c r="AT1" s="493">
        <f>+AS1+1</f>
        <v>2</v>
      </c>
      <c r="AU1" s="493">
        <f t="shared" ref="AU1:AZ1" si="1">+AT1+1</f>
        <v>3</v>
      </c>
      <c r="AV1" s="493">
        <f t="shared" si="1"/>
        <v>4</v>
      </c>
      <c r="AW1" s="493">
        <f t="shared" si="1"/>
        <v>5</v>
      </c>
      <c r="AX1" s="493">
        <f t="shared" si="1"/>
        <v>6</v>
      </c>
      <c r="AY1" s="493">
        <f t="shared" si="1"/>
        <v>7</v>
      </c>
      <c r="AZ1" s="493">
        <f t="shared" si="1"/>
        <v>8</v>
      </c>
      <c r="BB1" s="493">
        <v>1</v>
      </c>
      <c r="BC1" s="493">
        <f>+BB1+1</f>
        <v>2</v>
      </c>
      <c r="BD1" s="493">
        <f>+BC1+1</f>
        <v>3</v>
      </c>
      <c r="BE1" s="493">
        <f>+BD1+1</f>
        <v>4</v>
      </c>
      <c r="BF1" s="493">
        <f>+BE1+1</f>
        <v>5</v>
      </c>
      <c r="BG1" s="493"/>
      <c r="BH1" s="493"/>
      <c r="BI1" s="493"/>
    </row>
    <row r="2" spans="2:61" ht="16.5" thickBot="1">
      <c r="B2" s="1463" t="s">
        <v>563</v>
      </c>
      <c r="C2" s="1464"/>
      <c r="D2" s="1465"/>
      <c r="F2" s="1463" t="s">
        <v>564</v>
      </c>
      <c r="G2" s="1464"/>
      <c r="H2" s="1464"/>
      <c r="I2" s="1464"/>
      <c r="J2" s="1464"/>
      <c r="K2" s="1464"/>
      <c r="L2" s="1465"/>
      <c r="N2" s="1463" t="s">
        <v>565</v>
      </c>
      <c r="O2" s="1464"/>
      <c r="P2" s="1464"/>
      <c r="Q2" s="1465"/>
      <c r="S2" s="1466" t="s">
        <v>566</v>
      </c>
      <c r="T2" s="1467"/>
      <c r="U2" s="1467"/>
      <c r="V2" s="1467"/>
      <c r="W2" s="1468"/>
      <c r="X2" s="165"/>
      <c r="Z2" s="1466" t="s">
        <v>567</v>
      </c>
      <c r="AA2" s="1467"/>
      <c r="AB2" s="1467"/>
      <c r="AC2" s="1467"/>
      <c r="AD2" s="1467" t="s">
        <v>568</v>
      </c>
      <c r="AE2" s="1467"/>
      <c r="AF2" s="1467"/>
      <c r="AG2" s="944" t="s">
        <v>212</v>
      </c>
      <c r="AH2" s="946" t="s">
        <v>569</v>
      </c>
      <c r="AJ2" s="1469" t="s">
        <v>570</v>
      </c>
      <c r="AK2" s="1470"/>
      <c r="AL2" s="1471"/>
      <c r="AN2" s="1469" t="s">
        <v>571</v>
      </c>
      <c r="AO2" s="1470"/>
      <c r="AP2" s="1471"/>
      <c r="AQ2" s="493"/>
      <c r="AR2" s="619"/>
      <c r="AS2" s="1469" t="s">
        <v>572</v>
      </c>
      <c r="AT2" s="1470"/>
      <c r="AU2" s="1470"/>
      <c r="AV2" s="1470"/>
      <c r="AW2" s="1470"/>
      <c r="AX2" s="1470"/>
      <c r="AY2" s="1470"/>
      <c r="AZ2" s="1471"/>
      <c r="BB2" s="1466" t="s">
        <v>573</v>
      </c>
      <c r="BC2" s="1467"/>
      <c r="BD2" s="1467"/>
      <c r="BE2" s="1467"/>
      <c r="BF2" s="1468"/>
    </row>
    <row r="3" spans="2:61" ht="16.5" customHeight="1" thickBot="1">
      <c r="B3" s="6" t="s">
        <v>574</v>
      </c>
      <c r="C3" s="12"/>
      <c r="D3" s="16"/>
      <c r="F3" s="140"/>
      <c r="G3" s="1490" t="s">
        <v>507</v>
      </c>
      <c r="H3" s="1490"/>
      <c r="I3" s="1490"/>
      <c r="J3" s="1490"/>
      <c r="K3" s="13"/>
      <c r="L3" s="129"/>
      <c r="N3" s="167" t="s">
        <v>18</v>
      </c>
      <c r="O3" s="188"/>
      <c r="P3" s="165"/>
      <c r="Q3" s="166"/>
      <c r="S3" s="489" t="s">
        <v>24</v>
      </c>
      <c r="T3" s="490" t="s">
        <v>575</v>
      </c>
      <c r="U3" s="490" t="s">
        <v>576</v>
      </c>
      <c r="V3" s="490" t="s">
        <v>577</v>
      </c>
      <c r="W3" s="491" t="s">
        <v>578</v>
      </c>
      <c r="X3" s="916"/>
      <c r="Z3" s="941" t="s">
        <v>579</v>
      </c>
      <c r="AA3" s="942"/>
      <c r="AB3" s="533" t="s">
        <v>580</v>
      </c>
      <c r="AC3" s="943" t="s">
        <v>581</v>
      </c>
      <c r="AD3" s="533" t="s">
        <v>582</v>
      </c>
      <c r="AE3" s="533" t="s">
        <v>583</v>
      </c>
      <c r="AF3" s="533" t="s">
        <v>584</v>
      </c>
      <c r="AG3" s="945" t="s">
        <v>585</v>
      </c>
      <c r="AH3" s="533" t="s">
        <v>586</v>
      </c>
      <c r="AJ3" s="6" t="s">
        <v>387</v>
      </c>
      <c r="AK3" s="12"/>
      <c r="AL3" s="54"/>
      <c r="AN3" s="6" t="s">
        <v>389</v>
      </c>
      <c r="AO3" s="12"/>
      <c r="AP3" s="54"/>
      <c r="AR3" s="616" t="s">
        <v>223</v>
      </c>
      <c r="AS3" s="616" t="s">
        <v>587</v>
      </c>
      <c r="AT3" s="236" t="s">
        <v>588</v>
      </c>
      <c r="AU3" s="236" t="s">
        <v>589</v>
      </c>
      <c r="AV3" s="236" t="s">
        <v>590</v>
      </c>
      <c r="AW3" s="236" t="s">
        <v>589</v>
      </c>
      <c r="AX3" s="131" t="s">
        <v>591</v>
      </c>
      <c r="AY3" s="131" t="s">
        <v>589</v>
      </c>
      <c r="AZ3" s="129" t="s">
        <v>592</v>
      </c>
      <c r="BB3" s="489" t="s">
        <v>24</v>
      </c>
      <c r="BC3" s="678" t="s">
        <v>593</v>
      </c>
      <c r="BD3" s="490" t="s">
        <v>594</v>
      </c>
      <c r="BE3" s="490" t="s">
        <v>594</v>
      </c>
      <c r="BF3" s="491" t="s">
        <v>594</v>
      </c>
    </row>
    <row r="4" spans="2:61" ht="12.75" customHeight="1">
      <c r="B4" s="6">
        <v>1</v>
      </c>
      <c r="C4" s="12"/>
      <c r="D4" s="16"/>
      <c r="F4" s="6"/>
      <c r="G4" s="1272" t="s">
        <v>66</v>
      </c>
      <c r="H4" s="1272" t="s">
        <v>67</v>
      </c>
      <c r="I4" s="1272" t="s">
        <v>194</v>
      </c>
      <c r="J4" s="1197" t="s">
        <v>69</v>
      </c>
      <c r="K4" s="13"/>
      <c r="L4" s="129"/>
      <c r="N4" s="130" t="s">
        <v>595</v>
      </c>
      <c r="O4" s="131"/>
      <c r="P4" s="131"/>
      <c r="Q4" s="129"/>
      <c r="S4" s="130" t="s">
        <v>596</v>
      </c>
      <c r="T4" s="131" t="s">
        <v>597</v>
      </c>
      <c r="U4" s="104">
        <v>9.5095798919417371E-2</v>
      </c>
      <c r="V4" s="131" t="s">
        <v>598</v>
      </c>
      <c r="W4">
        <v>0.63694671326044838</v>
      </c>
      <c r="X4" s="108"/>
      <c r="Y4" s="492"/>
      <c r="Z4" s="508" t="s">
        <v>231</v>
      </c>
      <c r="AA4" s="101"/>
      <c r="AB4" s="636"/>
      <c r="AC4" s="505"/>
      <c r="AD4" s="78"/>
      <c r="AE4" s="101"/>
      <c r="AF4" s="101"/>
      <c r="AG4" s="506"/>
      <c r="AH4" s="507"/>
      <c r="AJ4" s="6" t="s">
        <v>599</v>
      </c>
      <c r="AK4" s="12"/>
      <c r="AL4" s="54"/>
      <c r="AN4" s="6" t="s">
        <v>600</v>
      </c>
      <c r="AO4" s="12"/>
      <c r="AP4" s="54"/>
      <c r="AR4" s="616">
        <v>45000</v>
      </c>
      <c r="AS4" s="616">
        <v>0</v>
      </c>
      <c r="AT4" s="236" t="s">
        <v>601</v>
      </c>
      <c r="AU4" s="236">
        <v>22000</v>
      </c>
      <c r="AV4" s="236" t="s">
        <v>602</v>
      </c>
      <c r="AW4" s="236">
        <v>12000</v>
      </c>
      <c r="AX4" s="131" t="s">
        <v>603</v>
      </c>
      <c r="AY4" s="131">
        <v>40000</v>
      </c>
      <c r="AZ4" s="129">
        <v>90000</v>
      </c>
      <c r="BB4" s="130" t="s">
        <v>596</v>
      </c>
      <c r="BC4" s="236">
        <v>45</v>
      </c>
      <c r="BD4"/>
      <c r="BE4" s="131"/>
      <c r="BF4"/>
    </row>
    <row r="5" spans="2:61">
      <c r="B5" s="6">
        <v>2</v>
      </c>
      <c r="C5" s="12"/>
      <c r="D5" s="16"/>
      <c r="F5" s="6"/>
      <c r="G5" s="73">
        <f>+'2-7'!O36</f>
        <v>0</v>
      </c>
      <c r="H5" s="112">
        <f>+'2-7'!Q36</f>
        <v>0</v>
      </c>
      <c r="I5" s="73">
        <f>+'2-7'!S36</f>
        <v>0</v>
      </c>
      <c r="J5" s="73">
        <f>+'2-7'!U36</f>
        <v>0</v>
      </c>
      <c r="K5" s="13"/>
      <c r="L5" s="129"/>
      <c r="N5" s="130" t="s">
        <v>604</v>
      </c>
      <c r="O5" s="131"/>
      <c r="P5" s="131"/>
      <c r="Q5" s="129"/>
      <c r="S5" s="130" t="s">
        <v>605</v>
      </c>
      <c r="T5" s="131" t="s">
        <v>606</v>
      </c>
      <c r="U5" s="104">
        <v>0.11070421167329643</v>
      </c>
      <c r="V5" s="131" t="s">
        <v>598</v>
      </c>
      <c r="W5">
        <v>0.71830537377832993</v>
      </c>
      <c r="X5" s="108"/>
      <c r="Y5" s="492"/>
      <c r="Z5" s="6" t="s">
        <v>607</v>
      </c>
      <c r="AA5" s="12"/>
      <c r="AB5" s="666">
        <f>ROUND((AD5*0.9),0)</f>
        <v>356</v>
      </c>
      <c r="AC5" s="16">
        <v>3</v>
      </c>
      <c r="AD5" s="666">
        <v>396</v>
      </c>
      <c r="AE5" s="494">
        <v>0.03</v>
      </c>
      <c r="AF5" s="667">
        <v>30.42</v>
      </c>
      <c r="AG5" s="495">
        <v>0.65</v>
      </c>
      <c r="AH5" s="501">
        <v>4</v>
      </c>
      <c r="AJ5" s="6" t="s">
        <v>608</v>
      </c>
      <c r="AK5" s="12"/>
      <c r="AL5" s="54"/>
      <c r="AN5" s="6" t="s">
        <v>609</v>
      </c>
      <c r="AO5" s="12"/>
      <c r="AP5" s="54"/>
      <c r="AR5" s="616">
        <v>100000</v>
      </c>
      <c r="AS5" s="616">
        <v>72500</v>
      </c>
      <c r="AT5" s="236" t="s">
        <v>610</v>
      </c>
      <c r="AU5" s="236">
        <v>35000</v>
      </c>
      <c r="AV5" s="236" t="s">
        <v>611</v>
      </c>
      <c r="AW5" s="236">
        <v>18000</v>
      </c>
      <c r="AX5" s="131" t="s">
        <v>612</v>
      </c>
      <c r="AY5" s="131">
        <v>80000</v>
      </c>
      <c r="AZ5" s="129">
        <v>200000</v>
      </c>
      <c r="BB5" s="130" t="s">
        <v>605</v>
      </c>
      <c r="BC5" s="236">
        <v>35</v>
      </c>
      <c r="BD5"/>
      <c r="BE5" s="131"/>
      <c r="BF5"/>
    </row>
    <row r="6" spans="2:61">
      <c r="B6" s="6">
        <v>3</v>
      </c>
      <c r="C6" s="12"/>
      <c r="D6" s="16"/>
      <c r="F6" s="6"/>
      <c r="G6" s="74">
        <f>ROUND(G5*I16,0-3)</f>
        <v>0</v>
      </c>
      <c r="H6" s="74">
        <f>ROUND(H5*I16,0-3)</f>
        <v>0</v>
      </c>
      <c r="I6" s="74">
        <f>ROUND(I5*I16,0-3)</f>
        <v>0</v>
      </c>
      <c r="J6" s="74">
        <f>ROUND(J5*I16,0-3)</f>
        <v>0</v>
      </c>
      <c r="K6" s="131"/>
      <c r="L6" s="129"/>
      <c r="N6" s="130" t="s">
        <v>613</v>
      </c>
      <c r="O6" s="131"/>
      <c r="P6" s="131"/>
      <c r="Q6" s="129"/>
      <c r="S6" s="130" t="s">
        <v>614</v>
      </c>
      <c r="T6" s="131" t="s">
        <v>597</v>
      </c>
      <c r="U6" s="104">
        <v>0.11835538212879725</v>
      </c>
      <c r="V6" s="131" t="s">
        <v>597</v>
      </c>
      <c r="W6">
        <v>0.63653892569987836</v>
      </c>
      <c r="X6" s="108"/>
      <c r="Z6" s="487" t="s">
        <v>615</v>
      </c>
      <c r="AA6" s="12"/>
      <c r="AB6" s="666">
        <v>330</v>
      </c>
      <c r="AC6" s="16">
        <v>3</v>
      </c>
      <c r="AD6" s="666">
        <f>ROUND((AB6*1.1),0)</f>
        <v>363</v>
      </c>
      <c r="AE6" s="599"/>
      <c r="AF6" s="681"/>
      <c r="AG6" s="600"/>
      <c r="AH6" s="501">
        <v>5</v>
      </c>
      <c r="AJ6" s="69" t="s">
        <v>616</v>
      </c>
      <c r="AK6" s="21"/>
      <c r="AL6" s="53"/>
      <c r="AN6" s="69" t="s">
        <v>617</v>
      </c>
      <c r="AO6" s="21"/>
      <c r="AP6" s="557"/>
      <c r="AR6" s="616">
        <v>150000</v>
      </c>
      <c r="AS6" s="616">
        <f>+AR5+25000</f>
        <v>125000</v>
      </c>
      <c r="AT6" s="236" t="s">
        <v>618</v>
      </c>
      <c r="AU6" s="236">
        <v>47500</v>
      </c>
      <c r="AV6" s="236" t="s">
        <v>619</v>
      </c>
      <c r="AW6" s="236">
        <v>21000</v>
      </c>
      <c r="AX6" s="131" t="s">
        <v>620</v>
      </c>
      <c r="AY6" s="131">
        <v>120000</v>
      </c>
      <c r="AZ6" s="129">
        <v>300000</v>
      </c>
      <c r="BB6" s="130" t="s">
        <v>614</v>
      </c>
      <c r="BC6" s="236">
        <v>66</v>
      </c>
      <c r="BD6"/>
      <c r="BE6" s="131"/>
      <c r="BF6"/>
    </row>
    <row r="7" spans="2:61">
      <c r="B7" s="6">
        <v>4</v>
      </c>
      <c r="C7" s="12"/>
      <c r="D7" s="16"/>
      <c r="F7" s="130"/>
      <c r="G7" s="131"/>
      <c r="H7" s="131"/>
      <c r="I7" s="131"/>
      <c r="J7" s="131"/>
      <c r="K7" s="131"/>
      <c r="L7" s="129"/>
      <c r="N7" s="130" t="s">
        <v>621</v>
      </c>
      <c r="O7" s="131"/>
      <c r="P7" s="131"/>
      <c r="Q7" s="129"/>
      <c r="S7" s="130" t="s">
        <v>595</v>
      </c>
      <c r="T7" s="131" t="s">
        <v>597</v>
      </c>
      <c r="U7" s="104">
        <v>0.12595866897752481</v>
      </c>
      <c r="V7" s="131" t="s">
        <v>598</v>
      </c>
      <c r="W7">
        <v>0.54087096469551266</v>
      </c>
      <c r="X7" s="108"/>
      <c r="Z7" s="487" t="s">
        <v>622</v>
      </c>
      <c r="AA7" s="12"/>
      <c r="AB7" s="666">
        <v>438</v>
      </c>
      <c r="AC7" s="16">
        <v>4</v>
      </c>
      <c r="AD7" s="666">
        <f>ROUND((AB7*1.1),0)</f>
        <v>482</v>
      </c>
      <c r="AE7" s="599"/>
      <c r="AF7" s="681"/>
      <c r="AG7" s="600"/>
      <c r="AH7" s="501">
        <v>3</v>
      </c>
      <c r="AR7" s="616">
        <v>200000</v>
      </c>
      <c r="AS7" s="616">
        <f>+AR6+25000</f>
        <v>175000</v>
      </c>
      <c r="AT7" s="236" t="s">
        <v>623</v>
      </c>
      <c r="AU7" s="236">
        <v>60000</v>
      </c>
      <c r="AV7" s="236" t="s">
        <v>624</v>
      </c>
      <c r="AW7" s="236">
        <v>24000</v>
      </c>
      <c r="AX7" s="131" t="s">
        <v>625</v>
      </c>
      <c r="AY7" s="131">
        <v>160000</v>
      </c>
      <c r="AZ7" s="129">
        <v>400000</v>
      </c>
      <c r="BB7" s="130" t="s">
        <v>595</v>
      </c>
      <c r="BC7" s="236">
        <v>37</v>
      </c>
      <c r="BD7"/>
      <c r="BE7" s="131"/>
      <c r="BF7"/>
    </row>
    <row r="8" spans="2:61" ht="16.5" thickBot="1">
      <c r="B8" s="69">
        <v>5</v>
      </c>
      <c r="C8" s="21"/>
      <c r="D8" s="53"/>
      <c r="F8" s="6"/>
      <c r="G8" s="131"/>
      <c r="H8" s="131"/>
      <c r="I8" s="131"/>
      <c r="J8" s="1488" t="s">
        <v>626</v>
      </c>
      <c r="K8" s="1489"/>
      <c r="L8" s="129"/>
      <c r="N8" s="130" t="s">
        <v>627</v>
      </c>
      <c r="O8" s="131"/>
      <c r="P8" s="131"/>
      <c r="Q8" s="129"/>
      <c r="S8" s="130" t="s">
        <v>604</v>
      </c>
      <c r="T8" s="131" t="s">
        <v>606</v>
      </c>
      <c r="U8" s="104">
        <v>9.462072833793371E-2</v>
      </c>
      <c r="V8" s="131" t="s">
        <v>598</v>
      </c>
      <c r="W8">
        <v>0.62622386402926145</v>
      </c>
      <c r="X8" s="108"/>
      <c r="Z8" s="487" t="s">
        <v>628</v>
      </c>
      <c r="AA8" s="12"/>
      <c r="AB8" s="666">
        <v>331</v>
      </c>
      <c r="AC8" s="16">
        <v>3</v>
      </c>
      <c r="AD8" s="666">
        <f>ROUND((AB8*1.1),0)</f>
        <v>364</v>
      </c>
      <c r="AE8" s="599"/>
      <c r="AF8" s="681"/>
      <c r="AG8" s="600"/>
      <c r="AH8" s="501">
        <v>10</v>
      </c>
      <c r="AJ8" s="1469" t="s">
        <v>629</v>
      </c>
      <c r="AK8" s="1470"/>
      <c r="AL8" s="1471"/>
      <c r="AN8" s="1469" t="s">
        <v>630</v>
      </c>
      <c r="AO8" s="1470"/>
      <c r="AP8" s="1471"/>
      <c r="AR8" s="617">
        <v>300000</v>
      </c>
      <c r="AS8" s="617">
        <f>+AR7+50000</f>
        <v>250000</v>
      </c>
      <c r="AT8" s="618" t="s">
        <v>631</v>
      </c>
      <c r="AU8" s="618">
        <v>85000</v>
      </c>
      <c r="AV8" s="618" t="s">
        <v>632</v>
      </c>
      <c r="AW8" s="618">
        <v>36000</v>
      </c>
      <c r="AX8" s="135" t="s">
        <v>633</v>
      </c>
      <c r="AY8" s="135">
        <v>240000</v>
      </c>
      <c r="AZ8" s="151">
        <v>600000</v>
      </c>
      <c r="BB8" s="130" t="s">
        <v>604</v>
      </c>
      <c r="BC8" s="236">
        <v>31</v>
      </c>
      <c r="BD8"/>
      <c r="BE8" s="131"/>
      <c r="BF8"/>
    </row>
    <row r="9" spans="2:61">
      <c r="F9" s="141"/>
      <c r="G9" s="13"/>
      <c r="H9" s="12"/>
      <c r="I9" s="131"/>
      <c r="J9" s="223"/>
      <c r="K9" s="224"/>
      <c r="L9" s="129"/>
      <c r="N9" s="130" t="s">
        <v>634</v>
      </c>
      <c r="O9" s="131"/>
      <c r="P9" s="131"/>
      <c r="Q9" s="129"/>
      <c r="S9" s="130" t="s">
        <v>613</v>
      </c>
      <c r="T9" s="131" t="s">
        <v>597</v>
      </c>
      <c r="U9" s="104">
        <v>0.13602988189031678</v>
      </c>
      <c r="V9" s="131" t="s">
        <v>597</v>
      </c>
      <c r="W9">
        <v>0.78841635248755104</v>
      </c>
      <c r="X9" s="108"/>
      <c r="Z9" s="6" t="s">
        <v>635</v>
      </c>
      <c r="AA9" s="12"/>
      <c r="AB9" s="666">
        <f>ROUND((AD9*0.9),0)</f>
        <v>377</v>
      </c>
      <c r="AC9" s="16">
        <v>3</v>
      </c>
      <c r="AD9" s="666">
        <v>419</v>
      </c>
      <c r="AE9" s="494">
        <v>7.0000000000000007E-2</v>
      </c>
      <c r="AF9" s="667">
        <v>39.950000000000003</v>
      </c>
      <c r="AG9" s="495">
        <v>0.62</v>
      </c>
      <c r="AH9" s="501">
        <v>7</v>
      </c>
      <c r="AJ9" s="6" t="s">
        <v>399</v>
      </c>
      <c r="AK9" s="12"/>
      <c r="AL9" s="54"/>
      <c r="AN9" s="6" t="s">
        <v>472</v>
      </c>
      <c r="AO9" s="12"/>
      <c r="AP9" s="54"/>
      <c r="BB9" s="130" t="s">
        <v>613</v>
      </c>
      <c r="BC9" s="236">
        <v>75</v>
      </c>
      <c r="BD9"/>
      <c r="BE9" s="131"/>
      <c r="BF9"/>
    </row>
    <row r="10" spans="2:61">
      <c r="F10" s="6"/>
      <c r="G10" s="131"/>
      <c r="H10" s="49" t="s">
        <v>636</v>
      </c>
      <c r="I10" s="173">
        <v>43646</v>
      </c>
      <c r="J10" s="661"/>
      <c r="K10" s="222"/>
      <c r="L10" s="129"/>
      <c r="N10" s="130" t="s">
        <v>637</v>
      </c>
      <c r="O10" s="131"/>
      <c r="P10" s="131"/>
      <c r="Q10" s="129"/>
      <c r="S10" s="130" t="s">
        <v>621</v>
      </c>
      <c r="T10" s="131" t="s">
        <v>606</v>
      </c>
      <c r="U10" s="104">
        <v>0.1277596927714541</v>
      </c>
      <c r="V10" s="131" t="s">
        <v>638</v>
      </c>
      <c r="W10">
        <v>0.7058187786657667</v>
      </c>
      <c r="X10" s="108"/>
      <c r="Z10" s="487" t="s">
        <v>639</v>
      </c>
      <c r="AA10" s="12"/>
      <c r="AB10" s="666">
        <v>334</v>
      </c>
      <c r="AC10" s="16">
        <v>3</v>
      </c>
      <c r="AD10" s="666">
        <f>ROUND((AB10*1.1),0)</f>
        <v>367</v>
      </c>
      <c r="AE10" s="599"/>
      <c r="AF10" s="681"/>
      <c r="AG10" s="600"/>
      <c r="AH10" s="501">
        <v>0</v>
      </c>
      <c r="AJ10" s="6" t="s">
        <v>640</v>
      </c>
      <c r="AK10" s="12"/>
      <c r="AL10" s="54"/>
      <c r="AN10" s="6" t="s">
        <v>641</v>
      </c>
      <c r="AO10" s="12"/>
      <c r="AP10" s="54"/>
      <c r="BB10" s="130" t="s">
        <v>621</v>
      </c>
      <c r="BC10" s="236">
        <v>32</v>
      </c>
      <c r="BD10"/>
      <c r="BE10" s="131"/>
      <c r="BF10"/>
    </row>
    <row r="11" spans="2:61" ht="15" customHeight="1" thickBot="1">
      <c r="B11" s="1469" t="s">
        <v>642</v>
      </c>
      <c r="C11" s="1470"/>
      <c r="D11" s="1471"/>
      <c r="F11" s="6"/>
      <c r="G11" s="131"/>
      <c r="H11" s="39" t="s">
        <v>643</v>
      </c>
      <c r="I11" s="144">
        <f>'2-7'!S12</f>
        <v>44641</v>
      </c>
      <c r="J11" s="662"/>
      <c r="K11" s="162">
        <v>4.1999999999999997E-3</v>
      </c>
      <c r="L11" s="129"/>
      <c r="N11" s="130" t="s">
        <v>644</v>
      </c>
      <c r="O11" s="131"/>
      <c r="P11" s="131"/>
      <c r="Q11" s="129"/>
      <c r="S11" s="130" t="s">
        <v>627</v>
      </c>
      <c r="T11" s="131" t="s">
        <v>597</v>
      </c>
      <c r="U11" s="104">
        <v>0.13476368596257415</v>
      </c>
      <c r="V11" s="131" t="s">
        <v>597</v>
      </c>
      <c r="W11">
        <v>0.78234569453972591</v>
      </c>
      <c r="X11" s="108"/>
      <c r="Z11" s="6" t="s">
        <v>645</v>
      </c>
      <c r="AA11" s="12"/>
      <c r="AB11" s="666">
        <f>ROUND((AD11*0.9),0)</f>
        <v>463</v>
      </c>
      <c r="AC11" s="16">
        <v>2</v>
      </c>
      <c r="AD11" s="666">
        <v>514</v>
      </c>
      <c r="AE11" s="494">
        <v>0.2</v>
      </c>
      <c r="AF11" s="667">
        <v>88.1</v>
      </c>
      <c r="AG11" s="495">
        <v>0.59</v>
      </c>
      <c r="AH11" s="501">
        <v>10</v>
      </c>
      <c r="AJ11" s="6" t="s">
        <v>646</v>
      </c>
      <c r="AK11" s="12"/>
      <c r="AL11" s="54"/>
      <c r="AN11" s="6" t="s">
        <v>647</v>
      </c>
      <c r="AO11" s="12"/>
      <c r="AP11" s="54"/>
      <c r="BB11" s="130" t="s">
        <v>627</v>
      </c>
      <c r="BC11" s="236">
        <v>66</v>
      </c>
      <c r="BD11"/>
      <c r="BE11" s="131"/>
      <c r="BF11"/>
    </row>
    <row r="12" spans="2:61">
      <c r="B12" s="6" t="s">
        <v>648</v>
      </c>
      <c r="C12" s="12"/>
      <c r="D12" s="54"/>
      <c r="F12" s="130"/>
      <c r="G12" s="131"/>
      <c r="H12" s="39" t="s">
        <v>649</v>
      </c>
      <c r="I12" s="144">
        <f>I11+(+'2-7'!S15-'2-7'!S14)/2</f>
        <v>44641</v>
      </c>
      <c r="J12" s="131"/>
      <c r="K12" s="131"/>
      <c r="L12" s="129"/>
      <c r="N12" s="130" t="s">
        <v>650</v>
      </c>
      <c r="O12" s="131"/>
      <c r="P12" s="131"/>
      <c r="Q12" s="129"/>
      <c r="S12" s="130" t="s">
        <v>634</v>
      </c>
      <c r="T12" s="131" t="s">
        <v>597</v>
      </c>
      <c r="U12" s="104">
        <v>0.1292555145697788</v>
      </c>
      <c r="V12" s="131" t="s">
        <v>651</v>
      </c>
      <c r="W12">
        <v>0.64935561215263127</v>
      </c>
      <c r="X12" s="108"/>
      <c r="Z12" s="6" t="s">
        <v>652</v>
      </c>
      <c r="AA12" s="12"/>
      <c r="AB12" s="666">
        <f>ROUND((AD12*0.9),0)</f>
        <v>326</v>
      </c>
      <c r="AC12" s="16">
        <v>3</v>
      </c>
      <c r="AD12" s="666">
        <v>362</v>
      </c>
      <c r="AE12" s="119">
        <v>0.03</v>
      </c>
      <c r="AF12" s="667">
        <v>29.23</v>
      </c>
      <c r="AG12" s="495">
        <v>0.75</v>
      </c>
      <c r="AH12" s="501">
        <v>5</v>
      </c>
      <c r="AJ12" s="6" t="s">
        <v>653</v>
      </c>
      <c r="AK12" s="12"/>
      <c r="AL12" s="54"/>
      <c r="AN12" s="69" t="s">
        <v>654</v>
      </c>
      <c r="AO12" s="21"/>
      <c r="AP12" s="557"/>
      <c r="BB12" s="130" t="s">
        <v>634</v>
      </c>
      <c r="BC12" s="236">
        <v>44</v>
      </c>
      <c r="BD12"/>
      <c r="BE12" s="131"/>
      <c r="BF12"/>
    </row>
    <row r="13" spans="2:61">
      <c r="B13" s="6" t="s">
        <v>655</v>
      </c>
      <c r="C13" s="12"/>
      <c r="D13" s="54"/>
      <c r="F13" s="130"/>
      <c r="G13" s="131"/>
      <c r="H13" s="131"/>
      <c r="I13" s="131"/>
      <c r="J13" s="131"/>
      <c r="K13" s="131"/>
      <c r="L13" s="129"/>
      <c r="N13" s="130" t="s">
        <v>656</v>
      </c>
      <c r="O13" s="131"/>
      <c r="P13" s="131"/>
      <c r="Q13" s="129"/>
      <c r="S13" s="130" t="s">
        <v>637</v>
      </c>
      <c r="T13" s="131" t="s">
        <v>606</v>
      </c>
      <c r="U13" s="104">
        <v>4.5809806957539459E-2</v>
      </c>
      <c r="V13" s="131" t="s">
        <v>598</v>
      </c>
      <c r="W13">
        <v>0.57586048444824178</v>
      </c>
      <c r="X13" s="108"/>
      <c r="Z13" s="487" t="s">
        <v>657</v>
      </c>
      <c r="AA13" s="12"/>
      <c r="AB13" s="666">
        <v>113</v>
      </c>
      <c r="AC13" s="16">
        <v>1</v>
      </c>
      <c r="AD13" s="666">
        <f>ROUND((AB13*1.1),0)</f>
        <v>124</v>
      </c>
      <c r="AE13" s="668"/>
      <c r="AF13" s="681"/>
      <c r="AG13" s="600"/>
      <c r="AH13" s="501">
        <v>5</v>
      </c>
      <c r="AJ13" s="6" t="s">
        <v>658</v>
      </c>
      <c r="AK13" s="12"/>
      <c r="AL13" s="54"/>
      <c r="BB13" s="130" t="s">
        <v>637</v>
      </c>
      <c r="BC13" s="236">
        <v>35</v>
      </c>
      <c r="BD13"/>
      <c r="BE13" s="131"/>
      <c r="BF13"/>
    </row>
    <row r="14" spans="2:61">
      <c r="B14" s="6" t="s">
        <v>659</v>
      </c>
      <c r="C14" s="12"/>
      <c r="D14" s="54"/>
      <c r="F14" s="130"/>
      <c r="G14" s="131"/>
      <c r="H14" s="39" t="s">
        <v>660</v>
      </c>
      <c r="I14" s="142">
        <f>+(I12-I10)/30.4</f>
        <v>32.73026315789474</v>
      </c>
      <c r="J14" s="97" t="s">
        <v>661</v>
      </c>
      <c r="K14" s="131"/>
      <c r="L14" s="129"/>
      <c r="N14" s="130" t="s">
        <v>614</v>
      </c>
      <c r="O14" s="131"/>
      <c r="P14" s="131"/>
      <c r="Q14" s="129"/>
      <c r="S14" s="130" t="s">
        <v>650</v>
      </c>
      <c r="T14" s="131" t="s">
        <v>606</v>
      </c>
      <c r="U14" s="104">
        <v>9.177709454996591E-2</v>
      </c>
      <c r="V14" s="131" t="s">
        <v>598</v>
      </c>
      <c r="W14">
        <v>0.80152392131124894</v>
      </c>
      <c r="X14" s="108"/>
      <c r="Z14" s="6" t="s">
        <v>662</v>
      </c>
      <c r="AA14" s="12"/>
      <c r="AB14" s="666">
        <f>ROUND((AD14*0.9),0)</f>
        <v>356</v>
      </c>
      <c r="AC14" s="16">
        <v>3</v>
      </c>
      <c r="AD14" s="666">
        <v>395</v>
      </c>
      <c r="AE14" s="494">
        <v>0.05</v>
      </c>
      <c r="AF14" s="667">
        <v>37.5</v>
      </c>
      <c r="AG14" s="495">
        <v>0.63</v>
      </c>
      <c r="AH14" s="501">
        <v>4</v>
      </c>
      <c r="AJ14" s="6" t="s">
        <v>663</v>
      </c>
      <c r="AK14" s="12"/>
      <c r="AL14" s="54"/>
      <c r="BB14" s="130" t="s">
        <v>650</v>
      </c>
      <c r="BC14" s="236">
        <v>32</v>
      </c>
      <c r="BD14"/>
      <c r="BE14" s="131"/>
      <c r="BF14"/>
    </row>
    <row r="15" spans="2:61">
      <c r="B15" s="6" t="s">
        <v>57</v>
      </c>
      <c r="C15" s="12"/>
      <c r="D15" s="54"/>
      <c r="F15" s="130"/>
      <c r="G15" s="131"/>
      <c r="H15" s="39" t="s">
        <v>664</v>
      </c>
      <c r="I15" s="143">
        <f>IF(I10&lt;J10,J11,K11)</f>
        <v>4.1999999999999997E-3</v>
      </c>
      <c r="J15" s="98">
        <f>I15*12</f>
        <v>5.04E-2</v>
      </c>
      <c r="K15" s="131"/>
      <c r="L15" s="129"/>
      <c r="N15" s="130" t="s">
        <v>665</v>
      </c>
      <c r="O15" s="131"/>
      <c r="P15" s="131"/>
      <c r="Q15" s="129"/>
      <c r="S15" s="130" t="s">
        <v>656</v>
      </c>
      <c r="T15" s="131" t="s">
        <v>666</v>
      </c>
      <c r="U15" s="104">
        <v>0.11784501170310346</v>
      </c>
      <c r="V15" s="131" t="s">
        <v>598</v>
      </c>
      <c r="W15">
        <v>0.67579061936499385</v>
      </c>
      <c r="X15" s="108"/>
      <c r="Z15" s="6" t="s">
        <v>667</v>
      </c>
      <c r="AA15" s="12"/>
      <c r="AB15" s="666">
        <f>ROUND((AD15*0.9),0)</f>
        <v>332</v>
      </c>
      <c r="AC15" s="16">
        <v>2</v>
      </c>
      <c r="AD15" s="666">
        <v>369</v>
      </c>
      <c r="AE15" s="119">
        <v>0.15</v>
      </c>
      <c r="AF15" s="667">
        <v>27.94</v>
      </c>
      <c r="AG15" s="495">
        <v>0.77</v>
      </c>
      <c r="AH15" s="501">
        <v>9</v>
      </c>
      <c r="AJ15" s="6" t="s">
        <v>668</v>
      </c>
      <c r="AK15" s="12"/>
      <c r="AL15" s="54"/>
      <c r="BB15" s="130" t="s">
        <v>656</v>
      </c>
      <c r="BC15" s="236">
        <v>35</v>
      </c>
      <c r="BD15"/>
      <c r="BE15" s="131"/>
      <c r="BF15"/>
    </row>
    <row r="16" spans="2:61">
      <c r="B16" s="6" t="s">
        <v>669</v>
      </c>
      <c r="C16" s="12"/>
      <c r="D16" s="16"/>
      <c r="F16" s="132"/>
      <c r="G16" s="135"/>
      <c r="H16" s="225" t="s">
        <v>670</v>
      </c>
      <c r="I16" s="226">
        <f>+I15*I14</f>
        <v>0.13746710526315789</v>
      </c>
      <c r="J16" s="135"/>
      <c r="K16" s="135"/>
      <c r="L16" s="151"/>
      <c r="N16" s="130" t="s">
        <v>671</v>
      </c>
      <c r="O16" s="131"/>
      <c r="P16" s="131"/>
      <c r="Q16" s="129"/>
      <c r="S16" s="130" t="s">
        <v>665</v>
      </c>
      <c r="T16" s="131" t="s">
        <v>597</v>
      </c>
      <c r="U16" s="104">
        <v>0.11338790156272001</v>
      </c>
      <c r="V16" s="131" t="s">
        <v>651</v>
      </c>
      <c r="W16">
        <v>0.66104616277708406</v>
      </c>
      <c r="X16" s="108"/>
      <c r="Z16" s="487" t="s">
        <v>672</v>
      </c>
      <c r="AA16" s="12"/>
      <c r="AB16" s="666">
        <v>337</v>
      </c>
      <c r="AC16" s="16">
        <v>3</v>
      </c>
      <c r="AD16" s="666">
        <f>ROUND((AB16*1.1),0)</f>
        <v>371</v>
      </c>
      <c r="AE16" s="668"/>
      <c r="AF16" s="681"/>
      <c r="AG16" s="600"/>
      <c r="AH16" s="501">
        <v>8</v>
      </c>
      <c r="AJ16" s="69" t="s">
        <v>673</v>
      </c>
      <c r="AK16" s="21"/>
      <c r="AL16" s="53"/>
      <c r="BB16" s="130" t="s">
        <v>665</v>
      </c>
      <c r="BC16" s="236">
        <v>66</v>
      </c>
      <c r="BD16"/>
      <c r="BE16" s="131"/>
      <c r="BF16"/>
    </row>
    <row r="17" spans="2:58">
      <c r="B17" s="6" t="s">
        <v>674</v>
      </c>
      <c r="C17" s="12"/>
      <c r="D17" s="16"/>
      <c r="N17" s="130" t="s">
        <v>605</v>
      </c>
      <c r="O17" s="131"/>
      <c r="P17" s="131"/>
      <c r="Q17" s="129"/>
      <c r="S17" s="130" t="s">
        <v>671</v>
      </c>
      <c r="T17" s="131" t="s">
        <v>666</v>
      </c>
      <c r="U17" s="104">
        <v>0.10576424766472575</v>
      </c>
      <c r="V17" s="131" t="s">
        <v>598</v>
      </c>
      <c r="W17">
        <v>0.71880617895852805</v>
      </c>
      <c r="X17" s="108"/>
      <c r="Z17" s="487" t="s">
        <v>675</v>
      </c>
      <c r="AA17" s="12"/>
      <c r="AB17" s="666">
        <v>338</v>
      </c>
      <c r="AC17" s="16">
        <v>3</v>
      </c>
      <c r="AD17" s="666">
        <f>ROUND((AB17*1.1),0)</f>
        <v>372</v>
      </c>
      <c r="AE17" s="668"/>
      <c r="AF17" s="681"/>
      <c r="AG17" s="600"/>
      <c r="AH17" s="501">
        <v>6</v>
      </c>
      <c r="BB17" s="130" t="s">
        <v>671</v>
      </c>
      <c r="BC17" s="236">
        <v>35</v>
      </c>
      <c r="BD17"/>
      <c r="BE17" s="131"/>
      <c r="BF17"/>
    </row>
    <row r="18" spans="2:58" ht="16.5" thickBot="1">
      <c r="B18" s="6" t="s">
        <v>676</v>
      </c>
      <c r="C18" s="131"/>
      <c r="D18" s="129"/>
      <c r="N18" s="130" t="s">
        <v>677</v>
      </c>
      <c r="O18" s="131"/>
      <c r="P18" s="131"/>
      <c r="Q18" s="129"/>
      <c r="S18" s="130" t="s">
        <v>677</v>
      </c>
      <c r="T18" s="131" t="s">
        <v>678</v>
      </c>
      <c r="U18" s="104">
        <v>9.1303008482771425E-2</v>
      </c>
      <c r="V18" s="131" t="s">
        <v>597</v>
      </c>
      <c r="W18">
        <v>0.71183605550677387</v>
      </c>
      <c r="X18" s="108"/>
      <c r="Z18" s="6" t="s">
        <v>679</v>
      </c>
      <c r="AA18" s="12"/>
      <c r="AB18" s="666">
        <f>ROUND((AD18*0.9),0)</f>
        <v>356</v>
      </c>
      <c r="AC18" s="16">
        <v>3</v>
      </c>
      <c r="AD18" s="666">
        <v>395</v>
      </c>
      <c r="AE18" s="494">
        <v>0.05</v>
      </c>
      <c r="AF18" s="667">
        <v>17.93</v>
      </c>
      <c r="AG18" s="495">
        <v>0.63</v>
      </c>
      <c r="AH18" s="501">
        <v>5</v>
      </c>
      <c r="AJ18" s="1469" t="s">
        <v>680</v>
      </c>
      <c r="AK18" s="1470"/>
      <c r="AL18" s="1471"/>
      <c r="BB18" s="130" t="s">
        <v>677</v>
      </c>
      <c r="BC18" s="236">
        <v>58</v>
      </c>
      <c r="BD18"/>
      <c r="BE18" s="131"/>
      <c r="BF18"/>
    </row>
    <row r="19" spans="2:58" ht="16.5" thickBot="1">
      <c r="B19" s="6" t="s">
        <v>681</v>
      </c>
      <c r="C19" s="12"/>
      <c r="D19" s="16"/>
      <c r="F19" s="1463" t="s">
        <v>682</v>
      </c>
      <c r="G19" s="1464"/>
      <c r="H19" s="1464"/>
      <c r="I19" s="1464"/>
      <c r="J19" s="1464"/>
      <c r="K19" s="1464"/>
      <c r="L19" s="1465"/>
      <c r="M19" s="71"/>
      <c r="N19" s="130" t="s">
        <v>683</v>
      </c>
      <c r="O19" s="131"/>
      <c r="P19" s="131"/>
      <c r="Q19" s="129"/>
      <c r="S19" s="130" t="s">
        <v>683</v>
      </c>
      <c r="T19" s="131" t="s">
        <v>606</v>
      </c>
      <c r="U19" s="104">
        <v>0.12883211127414679</v>
      </c>
      <c r="V19" s="131" t="s">
        <v>598</v>
      </c>
      <c r="W19">
        <v>0.72201825907118033</v>
      </c>
      <c r="X19" s="108"/>
      <c r="Z19" s="487" t="s">
        <v>684</v>
      </c>
      <c r="AA19" s="12"/>
      <c r="AB19" s="666">
        <v>339</v>
      </c>
      <c r="AC19" s="16">
        <v>3</v>
      </c>
      <c r="AD19" s="666">
        <f>ROUND((AB19*1.1),0)</f>
        <v>373</v>
      </c>
      <c r="AE19" s="668"/>
      <c r="AF19" s="681"/>
      <c r="AG19" s="600"/>
      <c r="AH19" s="501">
        <v>8</v>
      </c>
      <c r="AJ19" s="6" t="s">
        <v>399</v>
      </c>
      <c r="AK19" s="12"/>
      <c r="AL19" s="54"/>
      <c r="BB19" s="130" t="s">
        <v>683</v>
      </c>
      <c r="BC19" s="236">
        <v>35</v>
      </c>
      <c r="BD19"/>
      <c r="BE19" s="131"/>
      <c r="BF19"/>
    </row>
    <row r="20" spans="2:58">
      <c r="B20" s="6" t="s">
        <v>685</v>
      </c>
      <c r="C20" s="33"/>
      <c r="D20" s="63"/>
      <c r="F20" s="147"/>
      <c r="G20" s="1197"/>
      <c r="H20" s="1197" t="s">
        <v>33</v>
      </c>
      <c r="I20" s="145" t="s">
        <v>686</v>
      </c>
      <c r="J20" s="1197" t="s">
        <v>210</v>
      </c>
      <c r="K20" s="145" t="s">
        <v>686</v>
      </c>
      <c r="L20" s="151"/>
      <c r="N20" s="130" t="s">
        <v>687</v>
      </c>
      <c r="O20" s="131"/>
      <c r="P20" s="131"/>
      <c r="Q20" s="129"/>
      <c r="S20" s="130" t="s">
        <v>688</v>
      </c>
      <c r="T20" s="131" t="s">
        <v>689</v>
      </c>
      <c r="U20" s="104">
        <v>0.11617001906616346</v>
      </c>
      <c r="V20" s="131" t="s">
        <v>689</v>
      </c>
      <c r="W20">
        <v>1.0739050861457464</v>
      </c>
      <c r="X20" s="108"/>
      <c r="Z20" s="6" t="s">
        <v>690</v>
      </c>
      <c r="AA20" s="12"/>
      <c r="AB20" s="666">
        <f t="shared" ref="AB20:AB25" si="2">ROUND((AD20*0.9),0)</f>
        <v>460</v>
      </c>
      <c r="AC20" s="16">
        <v>2</v>
      </c>
      <c r="AD20" s="666">
        <v>511</v>
      </c>
      <c r="AE20" s="119">
        <v>0.03</v>
      </c>
      <c r="AF20" s="667">
        <v>31.76</v>
      </c>
      <c r="AG20" s="495">
        <v>0.72</v>
      </c>
      <c r="AH20" s="501">
        <v>7</v>
      </c>
      <c r="AJ20" s="6" t="s">
        <v>640</v>
      </c>
      <c r="AK20" s="12"/>
      <c r="AL20" s="54"/>
      <c r="BB20" s="130" t="s">
        <v>688</v>
      </c>
      <c r="BC20" s="236">
        <v>42</v>
      </c>
      <c r="BD20"/>
      <c r="BE20" s="131"/>
      <c r="BF20"/>
    </row>
    <row r="21" spans="2:58">
      <c r="B21" s="6" t="s">
        <v>218</v>
      </c>
      <c r="C21" s="33"/>
      <c r="D21" s="63"/>
      <c r="F21" s="134" t="s">
        <v>691</v>
      </c>
      <c r="G21" s="28"/>
      <c r="H21" s="148">
        <v>2752.5953915426221</v>
      </c>
      <c r="I21" s="187"/>
      <c r="J21" s="28">
        <v>1975</v>
      </c>
      <c r="K21" s="187"/>
      <c r="L21" s="129"/>
      <c r="N21" s="130" t="s">
        <v>692</v>
      </c>
      <c r="O21" s="131"/>
      <c r="P21" s="131"/>
      <c r="Q21" s="129"/>
      <c r="S21" s="130" t="s">
        <v>693</v>
      </c>
      <c r="T21" s="131" t="s">
        <v>689</v>
      </c>
      <c r="U21" s="104">
        <v>0.1088300515158668</v>
      </c>
      <c r="V21" s="131" t="s">
        <v>689</v>
      </c>
      <c r="W21">
        <v>0.63657299435620995</v>
      </c>
      <c r="X21" s="108"/>
      <c r="Z21" s="6" t="s">
        <v>694</v>
      </c>
      <c r="AA21" s="12"/>
      <c r="AB21" s="666">
        <f t="shared" si="2"/>
        <v>462</v>
      </c>
      <c r="AC21" s="16">
        <v>2</v>
      </c>
      <c r="AD21" s="666">
        <v>513</v>
      </c>
      <c r="AE21" s="668"/>
      <c r="AF21" s="681"/>
      <c r="AG21" s="495">
        <v>0.65</v>
      </c>
      <c r="AH21" s="501">
        <v>6</v>
      </c>
      <c r="AJ21" s="6" t="s">
        <v>653</v>
      </c>
      <c r="AK21" s="12"/>
      <c r="AL21" s="54"/>
      <c r="BB21" s="130" t="s">
        <v>693</v>
      </c>
      <c r="BC21" s="236">
        <v>42</v>
      </c>
      <c r="BD21"/>
      <c r="BE21" s="131"/>
      <c r="BF21"/>
    </row>
    <row r="22" spans="2:58">
      <c r="B22" s="6" t="s">
        <v>695</v>
      </c>
      <c r="C22" s="12"/>
      <c r="D22" s="16"/>
      <c r="F22" s="134" t="s">
        <v>696</v>
      </c>
      <c r="G22" s="28"/>
      <c r="H22" s="148">
        <v>2824.2126924537988</v>
      </c>
      <c r="I22" s="146">
        <f>H22/H21-1</f>
        <v>2.601809954751122E-2</v>
      </c>
      <c r="J22" s="28">
        <v>1975</v>
      </c>
      <c r="K22" s="149">
        <f>J22/J21-1</f>
        <v>0</v>
      </c>
      <c r="L22" s="129"/>
      <c r="N22" s="130" t="s">
        <v>697</v>
      </c>
      <c r="O22" s="131"/>
      <c r="P22" s="131"/>
      <c r="Q22" s="129"/>
      <c r="S22" s="130" t="s">
        <v>698</v>
      </c>
      <c r="T22" s="131" t="s">
        <v>699</v>
      </c>
      <c r="U22" s="104">
        <v>0.10529475611879852</v>
      </c>
      <c r="V22" s="131" t="s">
        <v>597</v>
      </c>
      <c r="W22">
        <v>0.70282339759777546</v>
      </c>
      <c r="X22" s="108"/>
      <c r="Z22" s="6" t="s">
        <v>700</v>
      </c>
      <c r="AA22" s="12"/>
      <c r="AB22" s="666">
        <f t="shared" si="2"/>
        <v>179</v>
      </c>
      <c r="AC22" s="16">
        <v>3</v>
      </c>
      <c r="AD22" s="666">
        <v>199</v>
      </c>
      <c r="AE22" s="494">
        <v>0.04</v>
      </c>
      <c r="AF22" s="667">
        <v>16.09</v>
      </c>
      <c r="AG22" s="495">
        <v>0.9</v>
      </c>
      <c r="AH22" s="501">
        <v>8</v>
      </c>
      <c r="AJ22" s="6" t="s">
        <v>701</v>
      </c>
      <c r="AK22" s="12"/>
      <c r="AL22" s="54"/>
      <c r="BB22" s="130" t="s">
        <v>698</v>
      </c>
      <c r="BC22" s="236">
        <v>51</v>
      </c>
      <c r="BD22"/>
      <c r="BE22" s="131"/>
      <c r="BF22"/>
    </row>
    <row r="23" spans="2:58">
      <c r="B23" s="6" t="s">
        <v>702</v>
      </c>
      <c r="C23" s="12"/>
      <c r="D23" s="16"/>
      <c r="F23" s="134" t="s">
        <v>703</v>
      </c>
      <c r="G23" s="28"/>
      <c r="H23" s="148">
        <v>2905.1713804403466</v>
      </c>
      <c r="I23" s="146">
        <f>H23/H22-1</f>
        <v>2.8665931642778419E-2</v>
      </c>
      <c r="J23" s="28">
        <v>2032</v>
      </c>
      <c r="K23" s="149">
        <f>J23/J22-1</f>
        <v>2.8860759493670951E-2</v>
      </c>
      <c r="L23" s="129"/>
      <c r="N23" s="130" t="s">
        <v>596</v>
      </c>
      <c r="O23" s="131"/>
      <c r="P23" s="131"/>
      <c r="Q23" s="129"/>
      <c r="S23" s="130" t="s">
        <v>644</v>
      </c>
      <c r="T23" s="131" t="s">
        <v>597</v>
      </c>
      <c r="U23" s="104">
        <v>0.12833244187009374</v>
      </c>
      <c r="V23" s="131" t="s">
        <v>597</v>
      </c>
      <c r="W23">
        <v>0.97072716785591284</v>
      </c>
      <c r="X23" s="108"/>
      <c r="Z23" s="6" t="s">
        <v>704</v>
      </c>
      <c r="AA23" s="12"/>
      <c r="AB23" s="666">
        <f t="shared" si="2"/>
        <v>147</v>
      </c>
      <c r="AC23" s="16">
        <v>5</v>
      </c>
      <c r="AD23" s="666">
        <v>163</v>
      </c>
      <c r="AE23" s="494">
        <v>0.01</v>
      </c>
      <c r="AF23" s="667">
        <v>11.1</v>
      </c>
      <c r="AG23" s="495">
        <v>0.9</v>
      </c>
      <c r="AH23" s="501">
        <v>5</v>
      </c>
      <c r="AJ23" s="69" t="s">
        <v>663</v>
      </c>
      <c r="AK23" s="21"/>
      <c r="AL23" s="557"/>
      <c r="BB23" s="130" t="s">
        <v>644</v>
      </c>
      <c r="BC23" s="236">
        <v>117</v>
      </c>
      <c r="BD23"/>
      <c r="BE23" s="131"/>
      <c r="BF23"/>
    </row>
    <row r="24" spans="2:58">
      <c r="B24" s="69" t="s">
        <v>705</v>
      </c>
      <c r="C24" s="21"/>
      <c r="D24" s="53"/>
      <c r="F24" s="134" t="s">
        <v>706</v>
      </c>
      <c r="G24" s="28"/>
      <c r="H24" s="148">
        <v>3006.6811199927101</v>
      </c>
      <c r="I24" s="146">
        <f t="shared" ref="I24:I39" si="3">H24/H23-1</f>
        <v>3.4941050375133953E-2</v>
      </c>
      <c r="J24" s="28">
        <v>2145</v>
      </c>
      <c r="K24" s="149">
        <f t="shared" ref="K24:K38" si="4">J24/J23-1</f>
        <v>5.5610236220472453E-2</v>
      </c>
      <c r="L24" s="129"/>
      <c r="N24" s="130" t="s">
        <v>693</v>
      </c>
      <c r="O24" s="131"/>
      <c r="P24" s="131"/>
      <c r="Q24" s="129"/>
      <c r="S24" s="130" t="s">
        <v>707</v>
      </c>
      <c r="T24" s="131" t="s">
        <v>606</v>
      </c>
      <c r="U24" s="104">
        <v>0.14151098825862729</v>
      </c>
      <c r="V24" s="131" t="s">
        <v>598</v>
      </c>
      <c r="W24">
        <v>0.64088061538271102</v>
      </c>
      <c r="X24" s="108"/>
      <c r="Z24" s="6" t="s">
        <v>708</v>
      </c>
      <c r="AA24" s="12"/>
      <c r="AB24" s="666">
        <f t="shared" si="2"/>
        <v>356</v>
      </c>
      <c r="AC24" s="16">
        <v>3</v>
      </c>
      <c r="AD24" s="666">
        <v>395</v>
      </c>
      <c r="AE24" s="494">
        <v>0.08</v>
      </c>
      <c r="AF24" s="667">
        <v>29.73</v>
      </c>
      <c r="AG24" s="495">
        <v>0.63</v>
      </c>
      <c r="AH24" s="501">
        <v>5</v>
      </c>
      <c r="BB24" s="130" t="s">
        <v>707</v>
      </c>
      <c r="BC24" s="236">
        <v>32</v>
      </c>
      <c r="BD24"/>
      <c r="BE24" s="131"/>
      <c r="BF24"/>
    </row>
    <row r="25" spans="2:58" ht="16.5" thickBot="1">
      <c r="F25" s="134" t="s">
        <v>709</v>
      </c>
      <c r="G25" s="28"/>
      <c r="H25" s="148">
        <v>3037.196317772255</v>
      </c>
      <c r="I25" s="146">
        <f t="shared" si="3"/>
        <v>1.0149130074565083E-2</v>
      </c>
      <c r="J25" s="28">
        <v>2242</v>
      </c>
      <c r="K25" s="149">
        <f t="shared" si="4"/>
        <v>4.5221445221445222E-2</v>
      </c>
      <c r="L25" s="129"/>
      <c r="N25" s="130" t="s">
        <v>710</v>
      </c>
      <c r="O25" s="131"/>
      <c r="P25" s="131"/>
      <c r="Q25" s="129"/>
      <c r="S25" s="130" t="s">
        <v>692</v>
      </c>
      <c r="T25" s="131" t="s">
        <v>597</v>
      </c>
      <c r="U25" s="104">
        <v>0.12845033899243266</v>
      </c>
      <c r="V25" s="131" t="s">
        <v>597</v>
      </c>
      <c r="W25">
        <v>0.84861134560456997</v>
      </c>
      <c r="X25" s="108"/>
      <c r="Z25" s="6" t="s">
        <v>711</v>
      </c>
      <c r="AA25" s="12"/>
      <c r="AB25" s="666">
        <f t="shared" si="2"/>
        <v>431</v>
      </c>
      <c r="AC25" s="16">
        <v>3</v>
      </c>
      <c r="AD25" s="666">
        <v>479</v>
      </c>
      <c r="AE25" s="494">
        <v>0.12</v>
      </c>
      <c r="AF25" s="667">
        <v>108.41</v>
      </c>
      <c r="AG25" s="495">
        <v>0.72</v>
      </c>
      <c r="AH25" s="501">
        <v>5</v>
      </c>
      <c r="AJ25" s="1469" t="s">
        <v>712</v>
      </c>
      <c r="AK25" s="1470"/>
      <c r="AL25" s="1471"/>
      <c r="BB25" s="130" t="s">
        <v>692</v>
      </c>
      <c r="BC25" s="236">
        <v>66</v>
      </c>
      <c r="BD25"/>
      <c r="BE25" s="131"/>
      <c r="BF25"/>
    </row>
    <row r="26" spans="2:58" ht="16.5" thickBot="1">
      <c r="B26" s="1469" t="s">
        <v>713</v>
      </c>
      <c r="C26" s="1470"/>
      <c r="D26" s="1471"/>
      <c r="F26" s="134" t="s">
        <v>714</v>
      </c>
      <c r="G26" s="28"/>
      <c r="H26" s="148">
        <v>3113.172932651938</v>
      </c>
      <c r="I26" s="146">
        <f t="shared" si="3"/>
        <v>2.5015378306335823E-2</v>
      </c>
      <c r="J26" s="28">
        <v>2285</v>
      </c>
      <c r="K26" s="149">
        <f t="shared" si="4"/>
        <v>1.9179304192685098E-2</v>
      </c>
      <c r="L26" s="129"/>
      <c r="N26" s="130" t="s">
        <v>698</v>
      </c>
      <c r="O26" s="131"/>
      <c r="P26" s="131"/>
      <c r="Q26" s="129"/>
      <c r="S26" s="130" t="s">
        <v>697</v>
      </c>
      <c r="T26" s="131" t="s">
        <v>597</v>
      </c>
      <c r="U26" s="104">
        <v>0.14094123011147938</v>
      </c>
      <c r="V26" s="131" t="s">
        <v>597</v>
      </c>
      <c r="W26">
        <v>0.80916338138160726</v>
      </c>
      <c r="X26" s="108"/>
      <c r="Z26" s="487" t="s">
        <v>715</v>
      </c>
      <c r="AA26" s="12"/>
      <c r="AB26" s="666">
        <v>112</v>
      </c>
      <c r="AC26" s="16">
        <v>1</v>
      </c>
      <c r="AD26" s="666">
        <f>ROUND((AB26*1.1),0)</f>
        <v>123</v>
      </c>
      <c r="AE26" s="668"/>
      <c r="AF26" s="681"/>
      <c r="AG26" s="600"/>
      <c r="AH26" s="501">
        <v>3</v>
      </c>
      <c r="AJ26" s="6" t="s">
        <v>399</v>
      </c>
      <c r="AK26" s="12"/>
      <c r="AL26" s="54"/>
      <c r="BB26" s="130" t="s">
        <v>697</v>
      </c>
      <c r="BC26" s="236">
        <v>66</v>
      </c>
      <c r="BD26"/>
      <c r="BE26" s="131"/>
      <c r="BF26"/>
    </row>
    <row r="27" spans="2:58">
      <c r="B27" s="130" t="s">
        <v>716</v>
      </c>
      <c r="C27" s="12"/>
      <c r="D27" s="54"/>
      <c r="F27" s="134" t="s">
        <v>717</v>
      </c>
      <c r="G27" s="28"/>
      <c r="H27" s="148">
        <v>3209.0778399590795</v>
      </c>
      <c r="I27" s="146">
        <f t="shared" si="3"/>
        <v>3.0806161232246554E-2</v>
      </c>
      <c r="J27" s="28">
        <v>2321</v>
      </c>
      <c r="K27" s="149">
        <f t="shared" si="4"/>
        <v>1.5754923413566768E-2</v>
      </c>
      <c r="L27" s="129"/>
      <c r="N27" s="132" t="s">
        <v>707</v>
      </c>
      <c r="O27" s="135"/>
      <c r="P27" s="135"/>
      <c r="Q27" s="151"/>
      <c r="S27" s="132" t="s">
        <v>710</v>
      </c>
      <c r="T27" s="131" t="s">
        <v>597</v>
      </c>
      <c r="U27" s="104">
        <v>0.11753322824305583</v>
      </c>
      <c r="V27" s="131" t="s">
        <v>597</v>
      </c>
      <c r="W27">
        <v>0.78636508903501112</v>
      </c>
      <c r="X27" s="108"/>
      <c r="Z27" s="6" t="s">
        <v>718</v>
      </c>
      <c r="AA27" s="12"/>
      <c r="AB27" s="666">
        <f>ROUND((AD27*0.9),0)</f>
        <v>345</v>
      </c>
      <c r="AC27" s="16">
        <v>3</v>
      </c>
      <c r="AD27" s="666">
        <v>383</v>
      </c>
      <c r="AE27" s="119">
        <v>0.03</v>
      </c>
      <c r="AF27" s="667">
        <v>11.4</v>
      </c>
      <c r="AG27" s="495">
        <v>0.6</v>
      </c>
      <c r="AH27" s="501">
        <v>5</v>
      </c>
      <c r="AJ27" s="6" t="s">
        <v>640</v>
      </c>
      <c r="AK27" s="12"/>
      <c r="AL27" s="54"/>
      <c r="BB27" s="132" t="s">
        <v>710</v>
      </c>
      <c r="BC27" s="236">
        <v>66</v>
      </c>
      <c r="BD27"/>
      <c r="BE27" s="131"/>
      <c r="BF27"/>
    </row>
    <row r="28" spans="2:58">
      <c r="B28" s="130" t="s">
        <v>719</v>
      </c>
      <c r="C28" s="12"/>
      <c r="D28" s="54"/>
      <c r="F28" s="134" t="s">
        <v>720</v>
      </c>
      <c r="G28" s="28"/>
      <c r="H28" s="148">
        <v>3326.1565579703947</v>
      </c>
      <c r="I28" s="146">
        <f t="shared" si="3"/>
        <v>3.6483601785367803E-2</v>
      </c>
      <c r="J28" s="28">
        <v>2370</v>
      </c>
      <c r="K28" s="149">
        <f t="shared" si="4"/>
        <v>2.1111589831968924E-2</v>
      </c>
      <c r="L28" s="129"/>
      <c r="S28" s="190"/>
      <c r="T28" s="403"/>
      <c r="U28" s="404">
        <v>0.12013182219937181</v>
      </c>
      <c r="V28" s="403"/>
      <c r="W28" s="405">
        <v>0.72758976251368357</v>
      </c>
      <c r="X28" s="917"/>
      <c r="Z28" s="487" t="s">
        <v>721</v>
      </c>
      <c r="AA28" s="12"/>
      <c r="AB28" s="666">
        <v>549</v>
      </c>
      <c r="AC28" s="16">
        <v>5</v>
      </c>
      <c r="AD28" s="666">
        <f>ROUND((AB28*1.1),0)</f>
        <v>604</v>
      </c>
      <c r="AE28" s="668"/>
      <c r="AF28" s="681"/>
      <c r="AG28" s="600"/>
      <c r="AH28" s="501">
        <v>5</v>
      </c>
      <c r="AJ28" s="6" t="s">
        <v>722</v>
      </c>
      <c r="AK28" s="12"/>
      <c r="AL28" s="54"/>
      <c r="BB28" s="190"/>
      <c r="BC28" s="679"/>
      <c r="BD28" s="404"/>
      <c r="BE28" s="403"/>
      <c r="BF28" s="405"/>
    </row>
    <row r="29" spans="2:58">
      <c r="B29" s="6" t="s">
        <v>552</v>
      </c>
      <c r="C29" s="12"/>
      <c r="D29" s="54"/>
      <c r="F29" s="134" t="s">
        <v>723</v>
      </c>
      <c r="G29" s="28"/>
      <c r="H29" s="148">
        <v>3484.3373791133413</v>
      </c>
      <c r="I29" s="146">
        <f t="shared" si="3"/>
        <v>4.755663733383253E-2</v>
      </c>
      <c r="J29" s="28">
        <v>2397</v>
      </c>
      <c r="K29" s="149">
        <f t="shared" si="4"/>
        <v>1.13924050632912E-2</v>
      </c>
      <c r="L29" s="129"/>
      <c r="X29" s="123"/>
      <c r="Z29" s="6" t="s">
        <v>724</v>
      </c>
      <c r="AA29" s="12"/>
      <c r="AB29" s="666">
        <f>ROUND((AD29*0.9),0)</f>
        <v>387</v>
      </c>
      <c r="AC29" s="16">
        <v>2</v>
      </c>
      <c r="AD29" s="666">
        <v>430</v>
      </c>
      <c r="AE29" s="119">
        <v>0.1</v>
      </c>
      <c r="AF29" s="667">
        <v>49.57</v>
      </c>
      <c r="AG29" s="495">
        <v>0.6</v>
      </c>
      <c r="AH29" s="501">
        <v>6</v>
      </c>
      <c r="AJ29" s="6" t="s">
        <v>725</v>
      </c>
      <c r="AK29" s="12"/>
      <c r="AL29" s="54"/>
    </row>
    <row r="30" spans="2:58" ht="16.5" thickBot="1">
      <c r="B30" s="6" t="s">
        <v>53</v>
      </c>
      <c r="C30" s="12"/>
      <c r="D30" s="16"/>
      <c r="F30" s="134" t="s">
        <v>726</v>
      </c>
      <c r="G30" s="28"/>
      <c r="H30" s="148">
        <v>3484.3373791133413</v>
      </c>
      <c r="I30" s="146">
        <f t="shared" si="3"/>
        <v>0</v>
      </c>
      <c r="J30" s="28">
        <v>2397</v>
      </c>
      <c r="K30" s="149">
        <f t="shared" si="4"/>
        <v>0</v>
      </c>
      <c r="L30" s="129"/>
      <c r="N30" s="1463" t="s">
        <v>727</v>
      </c>
      <c r="O30" s="1464"/>
      <c r="P30" s="1464"/>
      <c r="Q30" s="1465"/>
      <c r="S30" s="1478" t="s">
        <v>728</v>
      </c>
      <c r="T30" s="1479"/>
      <c r="U30" s="1479"/>
      <c r="V30" s="1479"/>
      <c r="W30" s="1479"/>
      <c r="X30" s="1480"/>
      <c r="Z30" s="6" t="s">
        <v>729</v>
      </c>
      <c r="AA30" s="12"/>
      <c r="AB30" s="666">
        <f>ROUND((AD30*0.9),0)</f>
        <v>356</v>
      </c>
      <c r="AC30" s="16">
        <v>3</v>
      </c>
      <c r="AD30" s="666">
        <v>396</v>
      </c>
      <c r="AE30" s="494">
        <v>0.15</v>
      </c>
      <c r="AF30" s="667">
        <v>32.83</v>
      </c>
      <c r="AG30" s="495">
        <v>0.62</v>
      </c>
      <c r="AH30" s="501">
        <v>5</v>
      </c>
      <c r="AJ30" s="6" t="s">
        <v>730</v>
      </c>
      <c r="AK30" s="12"/>
      <c r="AL30" s="54"/>
    </row>
    <row r="31" spans="2:58">
      <c r="B31" s="6" t="s">
        <v>731</v>
      </c>
      <c r="C31" s="12"/>
      <c r="D31" s="16"/>
      <c r="F31" s="134" t="s">
        <v>732</v>
      </c>
      <c r="G31" s="28"/>
      <c r="H31" s="148">
        <v>3570.9008993451112</v>
      </c>
      <c r="I31" s="146">
        <f t="shared" si="3"/>
        <v>2.4843610366398483E-2</v>
      </c>
      <c r="J31" s="28">
        <v>2475</v>
      </c>
      <c r="K31" s="149">
        <f t="shared" si="4"/>
        <v>3.2540675844805911E-2</v>
      </c>
      <c r="L31" s="129"/>
      <c r="N31" s="130"/>
      <c r="O31" s="131"/>
      <c r="P31" s="1272" t="s">
        <v>733</v>
      </c>
      <c r="Q31" s="1273"/>
      <c r="S31" s="918"/>
      <c r="T31" s="914"/>
      <c r="U31" s="914" t="s">
        <v>507</v>
      </c>
      <c r="V31" s="914"/>
      <c r="W31" s="914"/>
      <c r="X31" s="406"/>
      <c r="Z31" s="6" t="s">
        <v>734</v>
      </c>
      <c r="AA31" s="12"/>
      <c r="AB31" s="666">
        <f>ROUND((AD31*0.9),0)</f>
        <v>356</v>
      </c>
      <c r="AC31" s="16">
        <v>3</v>
      </c>
      <c r="AD31" s="666">
        <v>395</v>
      </c>
      <c r="AE31" s="494">
        <v>0.05</v>
      </c>
      <c r="AF31" s="667">
        <v>30.09</v>
      </c>
      <c r="AG31" s="495">
        <v>0.63</v>
      </c>
      <c r="AH31" s="501">
        <v>5</v>
      </c>
      <c r="AJ31" s="6" t="s">
        <v>735</v>
      </c>
      <c r="AK31" s="12"/>
      <c r="AL31" s="54"/>
    </row>
    <row r="32" spans="2:58">
      <c r="B32" s="69" t="s">
        <v>736</v>
      </c>
      <c r="C32" s="21"/>
      <c r="D32" s="53"/>
      <c r="F32" s="134" t="s">
        <v>737</v>
      </c>
      <c r="G32" s="148"/>
      <c r="H32" s="28">
        <v>3722</v>
      </c>
      <c r="I32" s="146">
        <f t="shared" si="3"/>
        <v>4.2313999999999963E-2</v>
      </c>
      <c r="J32" s="28">
        <v>2485</v>
      </c>
      <c r="K32" s="149">
        <f t="shared" si="4"/>
        <v>4.0404040404040664E-3</v>
      </c>
      <c r="L32" s="129"/>
      <c r="N32" s="130" t="s">
        <v>75</v>
      </c>
      <c r="O32" s="131"/>
      <c r="P32" s="131"/>
      <c r="Q32" s="129"/>
      <c r="R32" s="215">
        <v>1</v>
      </c>
      <c r="S32" s="1015"/>
      <c r="T32" s="1016" t="str">
        <f>+B29</f>
        <v>CM @ RISK</v>
      </c>
      <c r="U32" s="1016" t="str">
        <f>+B28</f>
        <v>DESIGN-BID-BUILD</v>
      </c>
      <c r="V32" s="1016" t="str">
        <f>+B30</f>
        <v>DESIGN-BUILD</v>
      </c>
      <c r="W32" s="1016" t="str">
        <f>+B31</f>
        <v>COLLABORATIVE DESIGN-BUILD</v>
      </c>
      <c r="X32" s="1017" t="str">
        <f>+B32</f>
        <v>SMALL PROJECT</v>
      </c>
      <c r="Z32" s="487" t="s">
        <v>738</v>
      </c>
      <c r="AA32" s="12"/>
      <c r="AB32" s="666">
        <v>347</v>
      </c>
      <c r="AC32" s="16">
        <v>3</v>
      </c>
      <c r="AD32" s="666">
        <f>ROUND((AB32*1.1),0)</f>
        <v>382</v>
      </c>
      <c r="AE32" s="668"/>
      <c r="AF32" s="681"/>
      <c r="AG32" s="600"/>
      <c r="AH32" s="501">
        <v>8</v>
      </c>
      <c r="AJ32" s="6" t="s">
        <v>739</v>
      </c>
      <c r="AK32" s="12"/>
      <c r="AL32" s="54"/>
    </row>
    <row r="33" spans="2:38">
      <c r="F33" s="134" t="s">
        <v>740</v>
      </c>
      <c r="G33" s="148"/>
      <c r="H33" s="28">
        <v>3847</v>
      </c>
      <c r="I33" s="146">
        <f t="shared" si="3"/>
        <v>3.3584094572810308E-2</v>
      </c>
      <c r="J33" s="28">
        <v>2485</v>
      </c>
      <c r="K33" s="149">
        <f t="shared" si="4"/>
        <v>0</v>
      </c>
      <c r="L33" s="129"/>
      <c r="N33" s="6" t="s">
        <v>741</v>
      </c>
      <c r="O33" s="131"/>
      <c r="P33" s="465">
        <v>1E-3</v>
      </c>
      <c r="Q33" s="129"/>
      <c r="R33" s="215">
        <f>+R32+1</f>
        <v>2</v>
      </c>
      <c r="S33" s="1018" t="s">
        <v>742</v>
      </c>
      <c r="T33" s="1019">
        <f>+T61</f>
        <v>0.01</v>
      </c>
      <c r="U33" s="1019"/>
      <c r="V33" s="1019"/>
      <c r="W33" s="1019">
        <f t="shared" ref="W33:W39" si="5">+W61</f>
        <v>7.0000000000000007E-2</v>
      </c>
      <c r="X33" s="1020"/>
      <c r="Z33" s="6" t="s">
        <v>743</v>
      </c>
      <c r="AA33" s="12"/>
      <c r="AB33" s="666">
        <f>ROUND((AD33*0.9),0)</f>
        <v>356</v>
      </c>
      <c r="AC33" s="16">
        <v>3</v>
      </c>
      <c r="AD33" s="666">
        <v>395</v>
      </c>
      <c r="AE33" s="494">
        <v>0.09</v>
      </c>
      <c r="AF33" s="667">
        <v>37.799999999999997</v>
      </c>
      <c r="AG33" s="495">
        <v>0.63</v>
      </c>
      <c r="AH33" s="501">
        <v>5</v>
      </c>
      <c r="AJ33" s="6" t="s">
        <v>744</v>
      </c>
      <c r="AK33" s="12"/>
      <c r="AL33" s="54"/>
    </row>
    <row r="34" spans="2:38" ht="15.75">
      <c r="B34" s="1466" t="s">
        <v>745</v>
      </c>
      <c r="C34" s="1467"/>
      <c r="D34" s="1468"/>
      <c r="F34" s="134" t="s">
        <v>746</v>
      </c>
      <c r="G34" s="148"/>
      <c r="H34" s="28">
        <v>3909</v>
      </c>
      <c r="I34" s="146">
        <f t="shared" si="3"/>
        <v>1.6116454380036283E-2</v>
      </c>
      <c r="J34" s="28">
        <v>2502</v>
      </c>
      <c r="K34" s="149">
        <f t="shared" si="4"/>
        <v>6.8410462776660186E-3</v>
      </c>
      <c r="L34" s="129"/>
      <c r="N34" s="6" t="s">
        <v>747</v>
      </c>
      <c r="O34" s="131"/>
      <c r="P34" s="465">
        <v>5.0000000000000001E-3</v>
      </c>
      <c r="Q34" s="129"/>
      <c r="R34" s="215">
        <f t="shared" ref="R34:R48" si="6">+R33+1</f>
        <v>3</v>
      </c>
      <c r="S34" s="206" t="s">
        <v>748</v>
      </c>
      <c r="T34" s="205">
        <f>+T62</f>
        <v>6.5000000000000002E-2</v>
      </c>
      <c r="U34" s="205"/>
      <c r="V34" s="205"/>
      <c r="W34" s="205">
        <f t="shared" si="5"/>
        <v>1.4999999999999999E-2</v>
      </c>
      <c r="X34" s="922"/>
      <c r="Z34" s="6" t="s">
        <v>749</v>
      </c>
      <c r="AA34" s="12"/>
      <c r="AB34" s="666">
        <f>ROUND((AD34*0.9),0)</f>
        <v>314</v>
      </c>
      <c r="AC34" s="16">
        <v>2</v>
      </c>
      <c r="AD34" s="666">
        <v>349</v>
      </c>
      <c r="AE34" s="494">
        <v>0.02</v>
      </c>
      <c r="AF34" s="667">
        <v>35.880000000000003</v>
      </c>
      <c r="AG34" s="495">
        <v>0.7</v>
      </c>
      <c r="AH34" s="501">
        <v>6</v>
      </c>
      <c r="AJ34" s="6" t="s">
        <v>750</v>
      </c>
      <c r="AK34" s="12"/>
      <c r="AL34" s="54"/>
    </row>
    <row r="35" spans="2:38">
      <c r="B35" s="150" t="s">
        <v>389</v>
      </c>
      <c r="C35" s="152"/>
      <c r="D35" s="153"/>
      <c r="F35" s="134" t="s">
        <v>751</v>
      </c>
      <c r="G35" s="148"/>
      <c r="H35" s="28">
        <v>4019</v>
      </c>
      <c r="I35" s="146">
        <f>H35/H34-1</f>
        <v>2.8140189306728125E-2</v>
      </c>
      <c r="J35" s="28">
        <v>2564</v>
      </c>
      <c r="K35" s="149">
        <f t="shared" si="4"/>
        <v>2.478017585931247E-2</v>
      </c>
      <c r="L35" s="129"/>
      <c r="N35" s="6" t="s">
        <v>752</v>
      </c>
      <c r="O35" s="131"/>
      <c r="P35" s="465">
        <v>1E-3</v>
      </c>
      <c r="Q35" s="163"/>
      <c r="R35" s="215">
        <f t="shared" si="6"/>
        <v>4</v>
      </c>
      <c r="S35" s="206" t="s">
        <v>753</v>
      </c>
      <c r="T35" s="205">
        <f>+T63</f>
        <v>0.02</v>
      </c>
      <c r="U35" s="205"/>
      <c r="V35" s="665"/>
      <c r="W35" s="205">
        <f t="shared" si="5"/>
        <v>5.3999999999999999E-2</v>
      </c>
      <c r="X35" s="922"/>
      <c r="Z35" s="6" t="s">
        <v>754</v>
      </c>
      <c r="AA35" s="12"/>
      <c r="AB35" s="666">
        <f>ROUND((AD35*0.9),0)</f>
        <v>480</v>
      </c>
      <c r="AC35" s="16">
        <v>2</v>
      </c>
      <c r="AD35" s="666">
        <v>533</v>
      </c>
      <c r="AE35" s="494">
        <v>0</v>
      </c>
      <c r="AF35" s="667">
        <v>38.57</v>
      </c>
      <c r="AG35" s="495">
        <v>0.7</v>
      </c>
      <c r="AH35" s="501">
        <v>7</v>
      </c>
      <c r="AJ35" s="6" t="s">
        <v>755</v>
      </c>
      <c r="AK35" s="12"/>
      <c r="AL35" s="54"/>
    </row>
    <row r="36" spans="2:38">
      <c r="B36" s="6">
        <v>301</v>
      </c>
      <c r="C36" s="12" t="s">
        <v>756</v>
      </c>
      <c r="D36" s="129"/>
      <c r="F36" s="134" t="s">
        <v>757</v>
      </c>
      <c r="G36" s="148"/>
      <c r="H36" s="28">
        <v>4019</v>
      </c>
      <c r="I36" s="146">
        <f>H36/H35-1</f>
        <v>0</v>
      </c>
      <c r="J36" s="28">
        <v>2564</v>
      </c>
      <c r="K36" s="149">
        <f t="shared" si="4"/>
        <v>0</v>
      </c>
      <c r="L36" s="129"/>
      <c r="N36" s="6" t="s">
        <v>758</v>
      </c>
      <c r="O36" s="131"/>
      <c r="P36" s="465">
        <v>5.0000000000000001E-3</v>
      </c>
      <c r="Q36" s="163"/>
      <c r="R36" s="215">
        <f t="shared" si="6"/>
        <v>5</v>
      </c>
      <c r="S36" s="206" t="s">
        <v>759</v>
      </c>
      <c r="T36" s="205">
        <f>+T64</f>
        <v>0.04</v>
      </c>
      <c r="U36" s="205">
        <f>+U68</f>
        <v>0.12</v>
      </c>
      <c r="V36" s="205">
        <f>+V68</f>
        <v>0.16499999999999998</v>
      </c>
      <c r="W36" s="205">
        <f t="shared" si="5"/>
        <v>5.5E-2</v>
      </c>
      <c r="X36" s="922">
        <f>+X68</f>
        <v>0.12</v>
      </c>
      <c r="Z36" s="487" t="s">
        <v>760</v>
      </c>
      <c r="AA36" s="12"/>
      <c r="AB36" s="666">
        <v>110</v>
      </c>
      <c r="AC36" s="16">
        <v>1</v>
      </c>
      <c r="AD36" s="666">
        <f>ROUND((AB36*1.1),0)</f>
        <v>121</v>
      </c>
      <c r="AE36" s="668"/>
      <c r="AF36" s="681"/>
      <c r="AG36" s="600"/>
      <c r="AH36" s="501">
        <v>1</v>
      </c>
      <c r="AJ36" s="6" t="s">
        <v>761</v>
      </c>
      <c r="AK36" s="12"/>
      <c r="AL36" s="54"/>
    </row>
    <row r="37" spans="2:38">
      <c r="B37" s="6">
        <v>302</v>
      </c>
      <c r="C37" s="12" t="s">
        <v>762</v>
      </c>
      <c r="D37" s="129"/>
      <c r="F37" s="134" t="s">
        <v>763</v>
      </c>
      <c r="G37" s="148"/>
      <c r="H37" s="28">
        <v>4019</v>
      </c>
      <c r="I37" s="146">
        <f t="shared" si="3"/>
        <v>0</v>
      </c>
      <c r="J37" s="28">
        <v>2564</v>
      </c>
      <c r="K37" s="149">
        <f>J37/J36-1</f>
        <v>0</v>
      </c>
      <c r="L37" s="129"/>
      <c r="N37" s="6" t="s">
        <v>764</v>
      </c>
      <c r="O37" s="131"/>
      <c r="P37" s="465">
        <v>5.0000000000000001E-3</v>
      </c>
      <c r="Q37" s="129"/>
      <c r="R37" s="215">
        <f t="shared" si="6"/>
        <v>6</v>
      </c>
      <c r="S37" s="958" t="s">
        <v>765</v>
      </c>
      <c r="T37" s="131"/>
      <c r="U37" s="131"/>
      <c r="V37" s="131"/>
      <c r="W37" s="205">
        <f t="shared" si="5"/>
        <v>8.9999999999999993E-3</v>
      </c>
      <c r="X37" s="129"/>
      <c r="Z37" s="487" t="s">
        <v>766</v>
      </c>
      <c r="AA37" s="12"/>
      <c r="AB37" s="666">
        <v>227</v>
      </c>
      <c r="AC37" s="16">
        <v>2</v>
      </c>
      <c r="AD37" s="666">
        <f>ROUND((AB37*1.1),0)</f>
        <v>250</v>
      </c>
      <c r="AE37" s="668"/>
      <c r="AF37" s="681"/>
      <c r="AG37" s="600"/>
      <c r="AH37" s="501">
        <v>6</v>
      </c>
      <c r="AJ37" s="6" t="s">
        <v>767</v>
      </c>
      <c r="AK37" s="12"/>
      <c r="AL37" s="54"/>
    </row>
    <row r="38" spans="2:38">
      <c r="B38" s="69" t="s">
        <v>768</v>
      </c>
      <c r="C38" s="135"/>
      <c r="D38" s="151"/>
      <c r="F38" s="134" t="s">
        <v>769</v>
      </c>
      <c r="G38" s="148"/>
      <c r="H38" s="28">
        <v>4100</v>
      </c>
      <c r="I38" s="146">
        <f t="shared" si="3"/>
        <v>2.0154267230654499E-2</v>
      </c>
      <c r="J38" s="28">
        <v>2564</v>
      </c>
      <c r="K38" s="149">
        <f t="shared" si="4"/>
        <v>0</v>
      </c>
      <c r="L38" s="129"/>
      <c r="N38" s="6" t="s">
        <v>770</v>
      </c>
      <c r="O38" s="131"/>
      <c r="P38" s="465">
        <v>5.0000000000000001E-3</v>
      </c>
      <c r="Q38" s="129"/>
      <c r="R38" s="215">
        <f t="shared" si="6"/>
        <v>7</v>
      </c>
      <c r="S38" s="928" t="s">
        <v>771</v>
      </c>
      <c r="T38" s="131"/>
      <c r="U38" s="131"/>
      <c r="V38" s="131"/>
      <c r="W38" s="205">
        <f t="shared" si="5"/>
        <v>8.9999999999999993E-3</v>
      </c>
      <c r="X38" s="129"/>
      <c r="Z38" s="6" t="s">
        <v>772</v>
      </c>
      <c r="AA38" s="12"/>
      <c r="AB38" s="666">
        <f t="shared" ref="AB38:AB44" si="7">ROUND((AD38*0.9),0)</f>
        <v>445</v>
      </c>
      <c r="AC38" s="16">
        <v>3</v>
      </c>
      <c r="AD38" s="666">
        <v>494</v>
      </c>
      <c r="AE38" s="494">
        <v>0.04</v>
      </c>
      <c r="AF38" s="667">
        <v>65.81</v>
      </c>
      <c r="AG38" s="495">
        <v>0.57999999999999996</v>
      </c>
      <c r="AH38" s="501">
        <v>5</v>
      </c>
      <c r="AJ38" s="6" t="s">
        <v>773</v>
      </c>
      <c r="AK38" s="12"/>
      <c r="AL38" s="54"/>
    </row>
    <row r="39" spans="2:38">
      <c r="F39" s="134" t="s">
        <v>774</v>
      </c>
      <c r="G39" s="148"/>
      <c r="H39" s="28">
        <v>4328</v>
      </c>
      <c r="I39" s="146">
        <f t="shared" si="3"/>
        <v>5.5609756097561025E-2</v>
      </c>
      <c r="J39" s="28">
        <v>2649</v>
      </c>
      <c r="K39" s="149">
        <f t="shared" ref="K39:K54" si="8">J39/J38-1</f>
        <v>3.3151326053042052E-2</v>
      </c>
      <c r="L39" s="129"/>
      <c r="N39" s="6" t="s">
        <v>775</v>
      </c>
      <c r="O39" s="131"/>
      <c r="P39" s="465">
        <v>7.4999999999999997E-3</v>
      </c>
      <c r="Q39" s="129"/>
      <c r="R39" s="215">
        <f t="shared" si="6"/>
        <v>8</v>
      </c>
      <c r="S39" s="928" t="s">
        <v>776</v>
      </c>
      <c r="T39" s="135"/>
      <c r="U39" s="135"/>
      <c r="V39" s="135"/>
      <c r="W39" s="1022">
        <f t="shared" si="5"/>
        <v>0.05</v>
      </c>
      <c r="X39" s="151"/>
      <c r="Z39" s="6" t="s">
        <v>777</v>
      </c>
      <c r="AA39" s="12"/>
      <c r="AB39" s="666">
        <f t="shared" si="7"/>
        <v>570</v>
      </c>
      <c r="AC39" s="16">
        <v>2</v>
      </c>
      <c r="AD39" s="666">
        <v>633</v>
      </c>
      <c r="AE39" s="494">
        <v>0</v>
      </c>
      <c r="AF39" s="667">
        <v>79.36</v>
      </c>
      <c r="AG39" s="495">
        <v>0.7</v>
      </c>
      <c r="AH39" s="501">
        <v>7</v>
      </c>
      <c r="AJ39" s="6" t="s">
        <v>778</v>
      </c>
      <c r="AK39" s="12"/>
      <c r="AL39" s="54"/>
    </row>
    <row r="40" spans="2:38" ht="13.5" thickBot="1">
      <c r="F40" s="6" t="s">
        <v>779</v>
      </c>
      <c r="G40" s="148"/>
      <c r="H40" s="28">
        <v>4633</v>
      </c>
      <c r="I40" s="146">
        <f t="shared" ref="I40:I48" si="9">H40/H39-1</f>
        <v>7.0471349353049995E-2</v>
      </c>
      <c r="J40" s="28">
        <v>2726</v>
      </c>
      <c r="K40" s="149">
        <f t="shared" si="8"/>
        <v>2.9067572668931563E-2</v>
      </c>
      <c r="L40" s="129"/>
      <c r="N40" s="6" t="s">
        <v>780</v>
      </c>
      <c r="O40" s="131"/>
      <c r="P40" s="465">
        <v>1E-3</v>
      </c>
      <c r="Q40" s="129"/>
      <c r="R40" s="215">
        <f t="shared" si="6"/>
        <v>9</v>
      </c>
      <c r="S40" s="211" t="s">
        <v>781</v>
      </c>
      <c r="T40" s="212">
        <f>SUM(T33:T39)</f>
        <v>0.13500000000000001</v>
      </c>
      <c r="U40" s="212">
        <f>SUM(U33:U39)</f>
        <v>0.12</v>
      </c>
      <c r="V40" s="212">
        <f>SUM(V33:V39)</f>
        <v>0.16499999999999998</v>
      </c>
      <c r="W40" s="212">
        <f>SUM(W33:W39)</f>
        <v>0.26200000000000001</v>
      </c>
      <c r="X40" s="923">
        <f>SUM(X33:X39)</f>
        <v>0.12</v>
      </c>
      <c r="Z40" s="6" t="s">
        <v>782</v>
      </c>
      <c r="AA40" s="12"/>
      <c r="AB40" s="666">
        <f t="shared" si="7"/>
        <v>319</v>
      </c>
      <c r="AC40" s="16">
        <v>3</v>
      </c>
      <c r="AD40" s="666">
        <v>354</v>
      </c>
      <c r="AE40" s="494">
        <v>0.05</v>
      </c>
      <c r="AF40" s="667">
        <v>18.760000000000002</v>
      </c>
      <c r="AG40" s="495">
        <v>0.75</v>
      </c>
      <c r="AH40" s="501">
        <v>6</v>
      </c>
      <c r="AJ40" s="6" t="s">
        <v>783</v>
      </c>
      <c r="AK40" s="12"/>
      <c r="AL40" s="54"/>
    </row>
    <row r="41" spans="2:38" ht="15.75">
      <c r="B41" s="1466" t="s">
        <v>508</v>
      </c>
      <c r="C41" s="1467"/>
      <c r="D41" s="1468"/>
      <c r="F41" s="6" t="s">
        <v>784</v>
      </c>
      <c r="G41" s="148"/>
      <c r="H41" s="28">
        <v>4865</v>
      </c>
      <c r="I41" s="146">
        <f t="shared" si="9"/>
        <v>5.0075545003237742E-2</v>
      </c>
      <c r="J41" s="28">
        <v>2726</v>
      </c>
      <c r="K41" s="149">
        <f t="shared" si="8"/>
        <v>0</v>
      </c>
      <c r="L41" s="129"/>
      <c r="N41" s="6" t="s">
        <v>785</v>
      </c>
      <c r="O41" s="131"/>
      <c r="P41" s="465">
        <v>5.0000000000000001E-3</v>
      </c>
      <c r="Q41" s="129"/>
      <c r="R41" s="215">
        <f t="shared" si="6"/>
        <v>10</v>
      </c>
      <c r="S41" s="206" t="s">
        <v>786</v>
      </c>
      <c r="T41" s="204">
        <f>+T69</f>
        <v>0.04</v>
      </c>
      <c r="U41" s="204">
        <f>+U69</f>
        <v>0.05</v>
      </c>
      <c r="V41" s="204">
        <f>+V69</f>
        <v>0.02</v>
      </c>
      <c r="W41" s="204">
        <f>+W69</f>
        <v>0.02</v>
      </c>
      <c r="X41" s="924">
        <f>+X69</f>
        <v>0.05</v>
      </c>
      <c r="Z41" s="6" t="s">
        <v>787</v>
      </c>
      <c r="AA41" s="12"/>
      <c r="AB41" s="666">
        <f t="shared" si="7"/>
        <v>420</v>
      </c>
      <c r="AC41" s="16">
        <v>2</v>
      </c>
      <c r="AD41" s="666">
        <v>467</v>
      </c>
      <c r="AE41" s="119">
        <v>0.1</v>
      </c>
      <c r="AF41" s="667">
        <v>62.02</v>
      </c>
      <c r="AG41" s="495">
        <v>0.59</v>
      </c>
      <c r="AH41" s="501">
        <v>10</v>
      </c>
      <c r="AJ41" s="6" t="s">
        <v>788</v>
      </c>
      <c r="AK41" s="12"/>
      <c r="AL41" s="54"/>
    </row>
    <row r="42" spans="2:38">
      <c r="B42" s="2" t="s">
        <v>7</v>
      </c>
      <c r="C42" s="152"/>
      <c r="D42" s="153"/>
      <c r="F42" s="6" t="s">
        <v>789</v>
      </c>
      <c r="G42" s="148"/>
      <c r="H42" s="28">
        <v>5179</v>
      </c>
      <c r="I42" s="146">
        <f t="shared" si="9"/>
        <v>6.4542651593011202E-2</v>
      </c>
      <c r="J42" s="28">
        <v>2744</v>
      </c>
      <c r="K42" s="149">
        <f t="shared" si="8"/>
        <v>6.6030814380044767E-3</v>
      </c>
      <c r="L42" s="129"/>
      <c r="N42" s="69" t="s">
        <v>790</v>
      </c>
      <c r="O42" s="77"/>
      <c r="P42" s="466">
        <v>5.0000000000000001E-4</v>
      </c>
      <c r="Q42" s="164"/>
      <c r="R42" s="215">
        <f t="shared" si="6"/>
        <v>11</v>
      </c>
      <c r="S42" s="207" t="s">
        <v>70</v>
      </c>
      <c r="T42" s="208">
        <f>+T40+T41</f>
        <v>0.17500000000000002</v>
      </c>
      <c r="U42" s="208">
        <f>+U40+U41</f>
        <v>0.16999999999999998</v>
      </c>
      <c r="V42" s="208">
        <f>+V40+V41</f>
        <v>0.18499999999999997</v>
      </c>
      <c r="W42" s="208">
        <f>+W40+W41</f>
        <v>0.28200000000000003</v>
      </c>
      <c r="X42" s="925">
        <f>+X40+X41</f>
        <v>0.16999999999999998</v>
      </c>
      <c r="Z42" s="6" t="s">
        <v>791</v>
      </c>
      <c r="AA42" s="12"/>
      <c r="AB42" s="666">
        <f t="shared" si="7"/>
        <v>420</v>
      </c>
      <c r="AC42" s="16">
        <v>3</v>
      </c>
      <c r="AD42" s="666">
        <v>467</v>
      </c>
      <c r="AE42" s="494">
        <v>0.1</v>
      </c>
      <c r="AF42" s="667">
        <v>62.02</v>
      </c>
      <c r="AG42" s="495">
        <v>0.59</v>
      </c>
      <c r="AH42" s="501">
        <v>5</v>
      </c>
      <c r="AJ42" s="6" t="s">
        <v>792</v>
      </c>
      <c r="AK42" s="12"/>
      <c r="AL42" s="54"/>
    </row>
    <row r="43" spans="2:38">
      <c r="B43" s="134"/>
      <c r="C43" s="12"/>
      <c r="D43" s="129"/>
      <c r="F43" s="6" t="s">
        <v>793</v>
      </c>
      <c r="G43" s="148"/>
      <c r="H43" s="28">
        <v>5320</v>
      </c>
      <c r="I43" s="146">
        <f t="shared" si="9"/>
        <v>2.7225333075883373E-2</v>
      </c>
      <c r="J43" s="28">
        <v>2894</v>
      </c>
      <c r="K43" s="149">
        <f t="shared" si="8"/>
        <v>5.4664723032070039E-2</v>
      </c>
      <c r="L43" s="129"/>
      <c r="R43" s="215">
        <f t="shared" si="6"/>
        <v>12</v>
      </c>
      <c r="S43" s="216"/>
      <c r="T43" s="131"/>
      <c r="U43" s="131"/>
      <c r="V43" s="131"/>
      <c r="W43" s="131"/>
      <c r="X43" s="926"/>
      <c r="Z43" s="6" t="s">
        <v>794</v>
      </c>
      <c r="AA43" s="12"/>
      <c r="AB43" s="666">
        <f t="shared" si="7"/>
        <v>247</v>
      </c>
      <c r="AC43" s="16">
        <v>4</v>
      </c>
      <c r="AD43" s="666">
        <v>274</v>
      </c>
      <c r="AE43" s="119">
        <v>0.02</v>
      </c>
      <c r="AF43" s="667">
        <v>26.68</v>
      </c>
      <c r="AG43" s="495">
        <v>0.65</v>
      </c>
      <c r="AH43" s="501">
        <v>6</v>
      </c>
      <c r="AJ43" s="6" t="s">
        <v>795</v>
      </c>
      <c r="AK43" s="12"/>
      <c r="AL43" s="54"/>
    </row>
    <row r="44" spans="2:38">
      <c r="B44" s="134"/>
      <c r="C44" s="12"/>
      <c r="D44" s="129"/>
      <c r="F44" s="6" t="s">
        <v>796</v>
      </c>
      <c r="G44" s="148"/>
      <c r="H44" s="28">
        <v>5565</v>
      </c>
      <c r="I44" s="146">
        <f t="shared" si="9"/>
        <v>4.6052631578947345E-2</v>
      </c>
      <c r="J44" s="28">
        <v>2928</v>
      </c>
      <c r="K44" s="146">
        <f t="shared" si="8"/>
        <v>1.1748445058742174E-2</v>
      </c>
      <c r="L44" s="129"/>
      <c r="R44" s="215">
        <f t="shared" si="6"/>
        <v>13</v>
      </c>
      <c r="S44" s="402"/>
      <c r="T44" s="221"/>
      <c r="U44" s="221"/>
      <c r="V44" s="221"/>
      <c r="W44" s="221"/>
      <c r="X44" s="919"/>
      <c r="Z44" s="6" t="s">
        <v>797</v>
      </c>
      <c r="AA44" s="12"/>
      <c r="AB44" s="666">
        <f t="shared" si="7"/>
        <v>284</v>
      </c>
      <c r="AC44" s="16">
        <v>4</v>
      </c>
      <c r="AD44" s="666">
        <v>315</v>
      </c>
      <c r="AE44" s="119">
        <v>0.02</v>
      </c>
      <c r="AF44" s="667">
        <v>26.68</v>
      </c>
      <c r="AG44" s="495">
        <v>0.65</v>
      </c>
      <c r="AH44" s="501">
        <v>6</v>
      </c>
      <c r="AJ44" s="6" t="s">
        <v>646</v>
      </c>
      <c r="AK44" s="12"/>
      <c r="AL44" s="54"/>
    </row>
    <row r="45" spans="2:38">
      <c r="B45" s="675"/>
      <c r="C45" s="135"/>
      <c r="D45" s="151"/>
      <c r="F45" s="6" t="s">
        <v>798</v>
      </c>
      <c r="G45" s="148"/>
      <c r="H45" s="28">
        <v>5732</v>
      </c>
      <c r="I45" s="146">
        <f t="shared" si="9"/>
        <v>3.0008984725965915E-2</v>
      </c>
      <c r="J45" s="28">
        <v>3016</v>
      </c>
      <c r="K45" s="146">
        <f t="shared" si="8"/>
        <v>3.0054644808743092E-2</v>
      </c>
      <c r="L45" s="129"/>
      <c r="N45" s="156"/>
      <c r="O45" s="131"/>
      <c r="P45" s="131"/>
      <c r="Q45" s="131"/>
      <c r="R45" s="215">
        <f t="shared" si="6"/>
        <v>14</v>
      </c>
      <c r="S45" s="1015"/>
      <c r="T45" s="1016"/>
      <c r="U45" s="1016"/>
      <c r="V45" s="1016"/>
      <c r="W45" s="1016"/>
      <c r="X45" s="1017"/>
      <c r="Z45" s="508" t="s">
        <v>231</v>
      </c>
      <c r="AA45" s="12"/>
      <c r="AB45" s="666">
        <v>0</v>
      </c>
      <c r="AC45" s="16">
        <v>0</v>
      </c>
      <c r="AD45" s="666">
        <f>ROUND((AB45*1.1),0)</f>
        <v>0</v>
      </c>
      <c r="AE45" s="119">
        <v>0</v>
      </c>
      <c r="AF45" s="667">
        <v>0</v>
      </c>
      <c r="AG45" s="495">
        <v>0</v>
      </c>
      <c r="AH45" s="501">
        <v>0</v>
      </c>
      <c r="AJ45" s="6" t="s">
        <v>799</v>
      </c>
      <c r="AK45" s="12"/>
      <c r="AL45" s="54"/>
    </row>
    <row r="46" spans="2:38">
      <c r="F46" s="6" t="s">
        <v>800</v>
      </c>
      <c r="G46" s="148"/>
      <c r="H46" s="28">
        <v>5950</v>
      </c>
      <c r="I46" s="146">
        <f t="shared" si="9"/>
        <v>3.8032100488485598E-2</v>
      </c>
      <c r="J46" s="28">
        <v>3125</v>
      </c>
      <c r="K46" s="146">
        <f t="shared" si="8"/>
        <v>3.614058355437666E-2</v>
      </c>
      <c r="L46" s="680"/>
      <c r="N46" s="156"/>
      <c r="O46" s="131"/>
      <c r="P46" s="131"/>
      <c r="Q46" s="131"/>
      <c r="R46" s="215">
        <f t="shared" si="6"/>
        <v>15</v>
      </c>
      <c r="S46" s="1018"/>
      <c r="T46" s="1019"/>
      <c r="U46" s="1019"/>
      <c r="V46" s="1019"/>
      <c r="W46" s="1019"/>
      <c r="X46" s="1020"/>
      <c r="Z46" s="487" t="s">
        <v>801</v>
      </c>
      <c r="AA46" s="12"/>
      <c r="AB46" s="666">
        <v>443</v>
      </c>
      <c r="AC46" s="16">
        <v>4</v>
      </c>
      <c r="AD46" s="666">
        <f>ROUND((AB46*1.1),0)</f>
        <v>487</v>
      </c>
      <c r="AE46" s="668"/>
      <c r="AF46" s="681"/>
      <c r="AG46" s="600"/>
      <c r="AH46" s="501">
        <v>9</v>
      </c>
      <c r="AJ46" s="6" t="s">
        <v>802</v>
      </c>
      <c r="AK46" s="12"/>
      <c r="AL46" s="54"/>
    </row>
    <row r="47" spans="2:38">
      <c r="F47" s="6" t="s">
        <v>803</v>
      </c>
      <c r="G47" s="148"/>
      <c r="H47" s="28">
        <v>6077</v>
      </c>
      <c r="I47" s="146">
        <f t="shared" si="9"/>
        <v>2.1344537815126019E-2</v>
      </c>
      <c r="J47" s="28">
        <v>3147</v>
      </c>
      <c r="K47" s="146">
        <f t="shared" si="8"/>
        <v>7.0399999999999352E-3</v>
      </c>
      <c r="L47" s="680"/>
      <c r="R47" s="215">
        <f t="shared" si="6"/>
        <v>16</v>
      </c>
      <c r="S47" s="206"/>
      <c r="T47" s="205"/>
      <c r="U47" s="205"/>
      <c r="V47" s="205"/>
      <c r="W47" s="205"/>
      <c r="X47" s="922"/>
      <c r="Z47" s="6" t="s">
        <v>804</v>
      </c>
      <c r="AA47" s="12"/>
      <c r="AB47" s="666">
        <f>ROUND((AD47*0.9),0)</f>
        <v>356</v>
      </c>
      <c r="AC47" s="16">
        <v>3</v>
      </c>
      <c r="AD47" s="666">
        <v>395</v>
      </c>
      <c r="AE47" s="494">
        <v>0.05</v>
      </c>
      <c r="AF47" s="667">
        <v>30.28</v>
      </c>
      <c r="AG47" s="495">
        <v>0.63</v>
      </c>
      <c r="AH47" s="501">
        <v>5</v>
      </c>
      <c r="AJ47" s="6" t="s">
        <v>805</v>
      </c>
      <c r="AK47" s="12"/>
      <c r="AL47" s="54"/>
    </row>
    <row r="48" spans="2:38">
      <c r="F48" s="6" t="s">
        <v>806</v>
      </c>
      <c r="G48" s="148"/>
      <c r="H48" s="28">
        <v>6151</v>
      </c>
      <c r="I48" s="146">
        <f t="shared" si="9"/>
        <v>1.2177061049860161E-2</v>
      </c>
      <c r="J48" s="28">
        <v>3202</v>
      </c>
      <c r="K48" s="146">
        <f t="shared" si="8"/>
        <v>1.7476962186208977E-2</v>
      </c>
      <c r="L48" s="129"/>
      <c r="R48" s="215">
        <f t="shared" si="6"/>
        <v>17</v>
      </c>
      <c r="S48" s="206"/>
      <c r="T48" s="205"/>
      <c r="U48" s="205"/>
      <c r="V48" s="665"/>
      <c r="W48" s="205"/>
      <c r="X48" s="922"/>
      <c r="Z48" s="487" t="s">
        <v>807</v>
      </c>
      <c r="AA48" s="12"/>
      <c r="AB48" s="666">
        <v>444</v>
      </c>
      <c r="AC48" s="16">
        <v>4</v>
      </c>
      <c r="AD48" s="666">
        <f>ROUND((AB48*1.1),0)</f>
        <v>488</v>
      </c>
      <c r="AE48" s="668"/>
      <c r="AF48" s="681"/>
      <c r="AG48" s="600"/>
      <c r="AH48" s="501">
        <v>9</v>
      </c>
      <c r="AJ48" s="69" t="s">
        <v>808</v>
      </c>
      <c r="AK48" s="21"/>
      <c r="AL48" s="557"/>
    </row>
    <row r="49" spans="6:38">
      <c r="F49" s="895" t="s">
        <v>809</v>
      </c>
      <c r="G49" s="894"/>
      <c r="H49" s="28">
        <v>6151</v>
      </c>
      <c r="I49" s="146">
        <f>H49/H47-1</f>
        <v>1.2177061049860161E-2</v>
      </c>
      <c r="J49" s="28">
        <v>3202</v>
      </c>
      <c r="K49" s="146">
        <f t="shared" si="8"/>
        <v>0</v>
      </c>
      <c r="L49" s="129"/>
      <c r="R49" s="215">
        <v>18</v>
      </c>
      <c r="S49" s="206"/>
      <c r="T49" s="205"/>
      <c r="U49" s="205"/>
      <c r="V49" s="205"/>
      <c r="W49" s="205"/>
      <c r="X49" s="922"/>
      <c r="Z49" s="487"/>
      <c r="AA49" s="12"/>
      <c r="AB49" s="666"/>
      <c r="AC49" s="16"/>
      <c r="AD49" s="666"/>
      <c r="AE49" s="668"/>
      <c r="AF49" s="681"/>
      <c r="AG49" s="600"/>
      <c r="AH49" s="501"/>
      <c r="AJ49" s="12"/>
      <c r="AK49" s="12"/>
      <c r="AL49" s="13"/>
    </row>
    <row r="50" spans="6:38">
      <c r="F50" s="897" t="s">
        <v>810</v>
      </c>
      <c r="G50" s="894"/>
      <c r="H50" s="28">
        <v>6255</v>
      </c>
      <c r="I50" s="146">
        <f>H50/H47-1</f>
        <v>2.9290768471285089E-2</v>
      </c>
      <c r="J50" s="28">
        <v>3298</v>
      </c>
      <c r="K50" s="146">
        <f t="shared" si="8"/>
        <v>2.998126171143034E-2</v>
      </c>
      <c r="L50" s="129"/>
      <c r="R50" s="215">
        <v>19</v>
      </c>
      <c r="S50" s="1021"/>
      <c r="T50" s="131"/>
      <c r="U50" s="131"/>
      <c r="V50" s="131"/>
      <c r="W50" s="205"/>
      <c r="X50" s="129"/>
      <c r="Z50" s="487"/>
      <c r="AA50" s="12"/>
      <c r="AB50" s="666"/>
      <c r="AC50" s="16"/>
      <c r="AD50" s="666"/>
      <c r="AE50" s="668"/>
      <c r="AF50" s="681"/>
      <c r="AG50" s="600"/>
      <c r="AH50" s="501"/>
      <c r="AJ50" s="12"/>
      <c r="AK50" s="12"/>
      <c r="AL50" s="13"/>
    </row>
    <row r="51" spans="6:38">
      <c r="F51" s="897" t="s">
        <v>811</v>
      </c>
      <c r="G51" s="894"/>
      <c r="H51" s="28">
        <v>6255</v>
      </c>
      <c r="I51" s="146">
        <f>H51/H48-1</f>
        <v>1.6907819866688323E-2</v>
      </c>
      <c r="J51" s="28">
        <v>3298</v>
      </c>
      <c r="K51" s="146">
        <f t="shared" si="8"/>
        <v>0</v>
      </c>
      <c r="L51" s="129"/>
      <c r="R51" s="215">
        <v>20</v>
      </c>
      <c r="S51" s="928"/>
      <c r="T51" s="131"/>
      <c r="U51" s="131"/>
      <c r="V51" s="131"/>
      <c r="W51" s="205"/>
      <c r="X51" s="129"/>
      <c r="Z51" s="6" t="s">
        <v>812</v>
      </c>
      <c r="AA51" s="12"/>
      <c r="AB51" s="666">
        <f>ROUND((AD51*0.9),0)</f>
        <v>643</v>
      </c>
      <c r="AC51" s="16">
        <v>2</v>
      </c>
      <c r="AD51" s="666">
        <v>714</v>
      </c>
      <c r="AE51" s="119">
        <v>0.05</v>
      </c>
      <c r="AF51" s="667">
        <v>24.17</v>
      </c>
      <c r="AG51" s="495">
        <v>0.65</v>
      </c>
      <c r="AH51" s="501">
        <v>7</v>
      </c>
    </row>
    <row r="52" spans="6:38">
      <c r="F52" s="897" t="s">
        <v>813</v>
      </c>
      <c r="G52" s="894"/>
      <c r="H52" s="28">
        <v>6840</v>
      </c>
      <c r="I52" s="146">
        <f>H52/H51-1</f>
        <v>9.3525179856115193E-2</v>
      </c>
      <c r="J52" s="28">
        <v>3443</v>
      </c>
      <c r="K52" s="146">
        <f t="shared" si="8"/>
        <v>4.3966040024257191E-2</v>
      </c>
      <c r="L52" s="129"/>
      <c r="R52" s="215">
        <v>21</v>
      </c>
      <c r="S52" s="930"/>
      <c r="T52" s="135"/>
      <c r="U52" s="135"/>
      <c r="V52" s="135"/>
      <c r="W52" s="205"/>
      <c r="X52" s="151"/>
      <c r="Z52" s="6"/>
      <c r="AA52" s="12"/>
      <c r="AB52" s="666"/>
      <c r="AC52" s="16"/>
      <c r="AD52" s="667"/>
      <c r="AE52" s="119"/>
      <c r="AF52" s="667"/>
      <c r="AG52" s="495"/>
      <c r="AH52" s="501"/>
    </row>
    <row r="53" spans="6:38" ht="16.5" thickBot="1">
      <c r="F53" s="897" t="s">
        <v>212</v>
      </c>
      <c r="G53" s="894"/>
      <c r="H53" s="28">
        <v>6840</v>
      </c>
      <c r="I53" s="146">
        <f t="shared" ref="I53:I54" si="10">H53/H52-1</f>
        <v>0</v>
      </c>
      <c r="J53" s="28">
        <v>3443</v>
      </c>
      <c r="K53" s="146">
        <f t="shared" si="8"/>
        <v>0</v>
      </c>
      <c r="L53" s="129"/>
      <c r="R53" s="215">
        <v>22</v>
      </c>
      <c r="S53" s="211"/>
      <c r="T53" s="212"/>
      <c r="U53" s="212"/>
      <c r="V53" s="212"/>
      <c r="W53" s="212"/>
      <c r="X53" s="923"/>
      <c r="Z53" s="488" t="s">
        <v>814</v>
      </c>
      <c r="AA53" s="21"/>
      <c r="AB53" s="937">
        <v>445</v>
      </c>
      <c r="AC53" s="53">
        <v>4</v>
      </c>
      <c r="AD53" s="937">
        <f>ROUND((AB53*1.1),0)</f>
        <v>490</v>
      </c>
      <c r="AE53" s="496"/>
      <c r="AF53" s="497"/>
      <c r="AG53" s="498"/>
      <c r="AH53" s="502">
        <v>0</v>
      </c>
      <c r="AJ53" s="1469" t="s">
        <v>815</v>
      </c>
      <c r="AK53" s="1470"/>
      <c r="AL53" s="1471"/>
    </row>
    <row r="54" spans="6:38">
      <c r="F54" s="897" t="s">
        <v>22</v>
      </c>
      <c r="G54" s="894"/>
      <c r="H54" s="28">
        <v>7197</v>
      </c>
      <c r="I54" s="146">
        <f t="shared" si="10"/>
        <v>5.2192982456140458E-2</v>
      </c>
      <c r="J54" s="28">
        <v>3522</v>
      </c>
      <c r="K54" s="146">
        <f t="shared" si="8"/>
        <v>2.2945106012198568E-2</v>
      </c>
      <c r="L54" s="129"/>
      <c r="R54" s="215">
        <v>23</v>
      </c>
      <c r="S54" s="206"/>
      <c r="T54" s="204"/>
      <c r="U54" s="204"/>
      <c r="V54" s="204"/>
      <c r="W54" s="204"/>
      <c r="X54" s="924"/>
      <c r="Z54" s="493">
        <v>1</v>
      </c>
      <c r="AA54" s="493">
        <f t="shared" ref="AA54:AH54" si="11">+Z54+1</f>
        <v>2</v>
      </c>
      <c r="AB54" s="493">
        <f t="shared" si="11"/>
        <v>3</v>
      </c>
      <c r="AC54" s="493">
        <f>+AB54+1</f>
        <v>4</v>
      </c>
      <c r="AD54" s="493">
        <f>+AC54+1</f>
        <v>5</v>
      </c>
      <c r="AE54" s="493">
        <f t="shared" si="11"/>
        <v>6</v>
      </c>
      <c r="AF54" s="493">
        <f t="shared" si="11"/>
        <v>7</v>
      </c>
      <c r="AG54" s="493">
        <f t="shared" si="11"/>
        <v>8</v>
      </c>
      <c r="AH54" s="493">
        <f t="shared" si="11"/>
        <v>9</v>
      </c>
      <c r="AJ54" s="6" t="s">
        <v>494</v>
      </c>
      <c r="AK54" s="12"/>
      <c r="AL54" s="54"/>
    </row>
    <row r="55" spans="6:38">
      <c r="F55" s="897" t="s">
        <v>1163</v>
      </c>
      <c r="G55" s="894"/>
      <c r="H55" s="28">
        <v>7528</v>
      </c>
      <c r="I55" s="146">
        <v>4.5991385299430254E-2</v>
      </c>
      <c r="J55" s="28">
        <v>4281</v>
      </c>
      <c r="K55" s="146">
        <v>0.21550255536626906</v>
      </c>
      <c r="L55" s="129"/>
      <c r="S55" s="207"/>
      <c r="T55" s="208"/>
      <c r="U55" s="208"/>
      <c r="V55" s="208"/>
      <c r="W55" s="208"/>
      <c r="X55" s="925"/>
      <c r="Z55" s="629" t="s">
        <v>816</v>
      </c>
      <c r="AA55" s="630"/>
      <c r="AB55" s="631" t="s">
        <v>817</v>
      </c>
      <c r="AC55" s="631" t="s">
        <v>581</v>
      </c>
      <c r="AD55" s="939" t="s">
        <v>582</v>
      </c>
      <c r="AE55" s="549" t="s">
        <v>583</v>
      </c>
      <c r="AF55" s="549" t="s">
        <v>584</v>
      </c>
      <c r="AG55" s="940" t="s">
        <v>585</v>
      </c>
      <c r="AH55" s="632" t="s">
        <v>586</v>
      </c>
      <c r="AJ55" s="6" t="s">
        <v>818</v>
      </c>
      <c r="AK55" s="12"/>
      <c r="AL55" s="54"/>
    </row>
    <row r="56" spans="6:38">
      <c r="F56" s="897" t="s">
        <v>1164</v>
      </c>
      <c r="G56" s="894"/>
      <c r="H56" s="28">
        <v>8287</v>
      </c>
      <c r="I56" s="146">
        <v>0.10082359192348567</v>
      </c>
      <c r="J56" s="28">
        <v>4281</v>
      </c>
      <c r="K56" s="146">
        <v>0</v>
      </c>
      <c r="L56" s="129"/>
      <c r="Z56" s="508" t="s">
        <v>231</v>
      </c>
      <c r="AA56" s="101"/>
      <c r="AB56" s="938"/>
      <c r="AC56" s="505"/>
      <c r="AD56" s="78"/>
      <c r="AE56" s="101"/>
      <c r="AF56" s="101"/>
      <c r="AG56" s="506"/>
      <c r="AH56" s="507"/>
      <c r="AJ56" s="6" t="s">
        <v>819</v>
      </c>
      <c r="AK56" s="12"/>
      <c r="AL56" s="54"/>
    </row>
    <row r="57" spans="6:38">
      <c r="F57" s="897" t="s">
        <v>1165</v>
      </c>
      <c r="G57" s="894"/>
      <c r="H57" s="28">
        <v>10461</v>
      </c>
      <c r="I57" s="146">
        <v>0.26233860263062625</v>
      </c>
      <c r="J57" s="28">
        <v>5000</v>
      </c>
      <c r="K57" s="146">
        <v>0.1679514132212101</v>
      </c>
      <c r="L57" s="129"/>
      <c r="Z57" s="6" t="s">
        <v>820</v>
      </c>
      <c r="AA57" s="12"/>
      <c r="AB57" s="527">
        <v>350</v>
      </c>
      <c r="AC57" s="16">
        <v>4</v>
      </c>
      <c r="AD57" s="666">
        <v>4100</v>
      </c>
      <c r="AE57" s="119">
        <v>0</v>
      </c>
      <c r="AF57" s="667">
        <v>0</v>
      </c>
      <c r="AG57" s="495">
        <v>0</v>
      </c>
      <c r="AH57" s="501">
        <v>5</v>
      </c>
      <c r="AJ57" s="6" t="s">
        <v>821</v>
      </c>
      <c r="AK57" s="12"/>
      <c r="AL57" s="54"/>
    </row>
    <row r="58" spans="6:38" ht="15.75">
      <c r="F58" s="897"/>
      <c r="G58" s="894"/>
      <c r="H58" s="28"/>
      <c r="I58" s="146"/>
      <c r="J58" s="28"/>
      <c r="K58" s="146"/>
      <c r="L58" s="129"/>
      <c r="S58" s="1483" t="s">
        <v>822</v>
      </c>
      <c r="T58" s="1484"/>
      <c r="U58" s="1484"/>
      <c r="V58" s="1484"/>
      <c r="W58" s="1484"/>
      <c r="X58" s="1485"/>
      <c r="Z58" s="6" t="s">
        <v>823</v>
      </c>
      <c r="AA58" s="12"/>
      <c r="AB58" s="527">
        <v>350</v>
      </c>
      <c r="AC58" s="16">
        <v>4</v>
      </c>
      <c r="AD58" s="666">
        <v>17105</v>
      </c>
      <c r="AE58" s="119">
        <v>0</v>
      </c>
      <c r="AF58" s="667">
        <v>0</v>
      </c>
      <c r="AG58" s="495">
        <v>0</v>
      </c>
      <c r="AH58" s="501">
        <v>8</v>
      </c>
      <c r="AJ58" s="6" t="s">
        <v>824</v>
      </c>
      <c r="AK58" s="12"/>
      <c r="AL58" s="54"/>
    </row>
    <row r="59" spans="6:38">
      <c r="F59" s="132"/>
      <c r="G59" s="135"/>
      <c r="H59" s="135"/>
      <c r="I59" s="135"/>
      <c r="J59" s="135"/>
      <c r="K59" s="135"/>
      <c r="L59" s="151"/>
      <c r="N59" s="1472" t="s">
        <v>825</v>
      </c>
      <c r="O59" s="1473"/>
      <c r="P59" s="1473"/>
      <c r="Q59" s="1473"/>
      <c r="R59" s="1474"/>
      <c r="S59" s="920"/>
      <c r="T59" s="921"/>
      <c r="U59" s="921" t="s">
        <v>507</v>
      </c>
      <c r="V59" s="921"/>
      <c r="W59" s="1481" t="str">
        <f>+W32</f>
        <v>COLLABORATIVE DESIGN-BUILD</v>
      </c>
      <c r="X59" s="1486" t="str">
        <f>+X32</f>
        <v>SMALL PROJECT</v>
      </c>
      <c r="Z59" s="6" t="s">
        <v>826</v>
      </c>
      <c r="AA59" s="12"/>
      <c r="AB59" s="527">
        <v>342</v>
      </c>
      <c r="AC59" s="16">
        <v>4</v>
      </c>
      <c r="AD59" s="666">
        <v>79170</v>
      </c>
      <c r="AE59" s="119">
        <v>0.02</v>
      </c>
      <c r="AF59" s="667">
        <v>26.68</v>
      </c>
      <c r="AG59" s="495">
        <v>0.65</v>
      </c>
      <c r="AH59" s="501">
        <v>6</v>
      </c>
      <c r="AJ59" s="6" t="s">
        <v>827</v>
      </c>
      <c r="AK59" s="12"/>
      <c r="AL59" s="54"/>
    </row>
    <row r="60" spans="6:38" ht="21" customHeight="1" thickBot="1">
      <c r="N60" s="1475"/>
      <c r="O60" s="1476"/>
      <c r="P60" s="1476"/>
      <c r="Q60" s="1476"/>
      <c r="R60" s="1477"/>
      <c r="S60" s="213"/>
      <c r="T60" s="214" t="str">
        <f>+T32</f>
        <v>CM @ RISK</v>
      </c>
      <c r="U60" s="214" t="str">
        <f>+U32</f>
        <v>DESIGN-BID-BUILD</v>
      </c>
      <c r="V60" s="214" t="str">
        <f>+V32</f>
        <v>DESIGN-BUILD</v>
      </c>
      <c r="W60" s="1482"/>
      <c r="X60" s="1487"/>
      <c r="Z60" s="6" t="s">
        <v>828</v>
      </c>
      <c r="AA60" s="12"/>
      <c r="AB60" s="527">
        <v>426</v>
      </c>
      <c r="AC60" s="16">
        <v>4</v>
      </c>
      <c r="AD60" s="666">
        <v>122298</v>
      </c>
      <c r="AE60" s="119">
        <v>0.02</v>
      </c>
      <c r="AF60" s="667">
        <v>26.68</v>
      </c>
      <c r="AG60" s="495">
        <v>0.65</v>
      </c>
      <c r="AH60" s="501">
        <v>6</v>
      </c>
      <c r="AJ60" s="6" t="s">
        <v>829</v>
      </c>
      <c r="AK60" s="12"/>
      <c r="AL60" s="54"/>
    </row>
    <row r="61" spans="6:38">
      <c r="M61" s="110"/>
      <c r="N61" s="948"/>
      <c r="O61" s="947"/>
      <c r="P61" s="947"/>
      <c r="Q61" s="947" t="s">
        <v>830</v>
      </c>
      <c r="R61" s="949"/>
      <c r="S61" s="155" t="s">
        <v>831</v>
      </c>
      <c r="T61" s="953">
        <v>0.01</v>
      </c>
      <c r="U61" s="953"/>
      <c r="V61" s="953">
        <v>0.01</v>
      </c>
      <c r="W61" s="951">
        <v>7.0000000000000007E-2</v>
      </c>
      <c r="X61" s="954"/>
      <c r="Z61" s="633" t="s">
        <v>231</v>
      </c>
      <c r="AA61" s="21"/>
      <c r="AB61" s="502">
        <v>0</v>
      </c>
      <c r="AC61" s="53">
        <v>0</v>
      </c>
      <c r="AD61" s="21"/>
      <c r="AE61" s="669">
        <v>0.01</v>
      </c>
      <c r="AF61" s="670">
        <v>0</v>
      </c>
      <c r="AG61" s="498">
        <v>0.01</v>
      </c>
      <c r="AH61" s="502">
        <v>0</v>
      </c>
      <c r="AJ61" s="6" t="s">
        <v>832</v>
      </c>
      <c r="AK61" s="12"/>
      <c r="AL61" s="54"/>
    </row>
    <row r="62" spans="6:38">
      <c r="M62" s="156"/>
      <c r="N62" s="928"/>
      <c r="O62" s="929"/>
      <c r="P62" s="929"/>
      <c r="Q62" s="929" t="s">
        <v>833</v>
      </c>
      <c r="R62" s="927"/>
      <c r="S62" s="155" t="s">
        <v>834</v>
      </c>
      <c r="T62" s="953">
        <v>6.5000000000000002E-2</v>
      </c>
      <c r="U62" s="953">
        <v>6.5000000000000002E-2</v>
      </c>
      <c r="V62" s="953">
        <v>6.5000000000000002E-2</v>
      </c>
      <c r="W62" s="952">
        <v>1.4999999999999999E-2</v>
      </c>
      <c r="X62" s="954">
        <v>6.5000000000000002E-2</v>
      </c>
      <c r="AJ62" s="6" t="s">
        <v>835</v>
      </c>
      <c r="AK62" s="12"/>
      <c r="AL62" s="54"/>
    </row>
    <row r="63" spans="6:38">
      <c r="M63" s="156"/>
      <c r="N63" s="928"/>
      <c r="O63" s="929"/>
      <c r="P63" s="929"/>
      <c r="Q63" s="929" t="s">
        <v>836</v>
      </c>
      <c r="R63" s="927"/>
      <c r="S63" s="155" t="s">
        <v>837</v>
      </c>
      <c r="T63" s="953">
        <v>0.02</v>
      </c>
      <c r="U63" s="953"/>
      <c r="V63" s="953"/>
      <c r="W63" s="952">
        <v>5.3999999999999999E-2</v>
      </c>
      <c r="X63" s="954"/>
      <c r="AJ63" s="6" t="s">
        <v>838</v>
      </c>
      <c r="AK63" s="12"/>
      <c r="AL63" s="54"/>
    </row>
    <row r="64" spans="6:38">
      <c r="M64" s="702"/>
      <c r="N64" s="928"/>
      <c r="O64" s="929"/>
      <c r="P64" s="929"/>
      <c r="Q64" s="929" t="s">
        <v>839</v>
      </c>
      <c r="R64" s="927"/>
      <c r="S64" s="155" t="s">
        <v>840</v>
      </c>
      <c r="T64" s="953">
        <v>0.04</v>
      </c>
      <c r="U64" s="953">
        <v>5.5E-2</v>
      </c>
      <c r="V64" s="953">
        <v>0.09</v>
      </c>
      <c r="W64" s="952">
        <v>5.5E-2</v>
      </c>
      <c r="X64" s="954">
        <v>5.5E-2</v>
      </c>
      <c r="AJ64" s="69" t="s">
        <v>841</v>
      </c>
      <c r="AK64" s="21"/>
      <c r="AL64" s="557"/>
    </row>
    <row r="65" spans="2:38">
      <c r="N65" s="130"/>
      <c r="O65" s="131"/>
      <c r="P65" s="131"/>
      <c r="Q65" s="929" t="s">
        <v>842</v>
      </c>
      <c r="R65" s="950"/>
      <c r="T65" s="955"/>
      <c r="U65" s="955"/>
      <c r="V65" s="955"/>
      <c r="W65" s="952">
        <v>8.9999999999999993E-3</v>
      </c>
      <c r="X65" s="955"/>
    </row>
    <row r="66" spans="2:38" ht="16.5" thickBot="1">
      <c r="N66" s="130"/>
      <c r="O66" s="929"/>
      <c r="P66" s="929"/>
      <c r="Q66" s="929" t="s">
        <v>843</v>
      </c>
      <c r="R66" s="129"/>
      <c r="T66" s="955"/>
      <c r="U66" s="955"/>
      <c r="V66" s="955"/>
      <c r="W66" s="952">
        <v>8.9999999999999993E-3</v>
      </c>
      <c r="X66" s="955"/>
      <c r="AJ66" s="1469" t="s">
        <v>844</v>
      </c>
      <c r="AK66" s="1470"/>
      <c r="AL66" s="1471"/>
    </row>
    <row r="67" spans="2:38">
      <c r="N67" s="464"/>
      <c r="O67" s="135"/>
      <c r="P67" s="135"/>
      <c r="Q67" s="931" t="s">
        <v>845</v>
      </c>
      <c r="R67" s="151"/>
      <c r="W67" s="952">
        <v>0.05</v>
      </c>
      <c r="AJ67" s="6" t="s">
        <v>399</v>
      </c>
      <c r="AK67" s="12"/>
      <c r="AL67" s="54"/>
    </row>
    <row r="68" spans="2:38">
      <c r="N68" s="131"/>
      <c r="O68" s="131"/>
      <c r="P68" s="131"/>
      <c r="Q68" s="131"/>
      <c r="R68" s="129"/>
      <c r="S68" s="1008" t="s">
        <v>781</v>
      </c>
      <c r="T68" s="1009">
        <f>SUM(T61:T64)</f>
        <v>0.13500000000000001</v>
      </c>
      <c r="U68" s="1009">
        <f>SUM(U61:U64)</f>
        <v>0.12</v>
      </c>
      <c r="V68" s="1009">
        <f>SUM(V61:V64)</f>
        <v>0.16499999999999998</v>
      </c>
      <c r="W68" s="1009">
        <f>SUM(W61:W67)</f>
        <v>0.26200000000000001</v>
      </c>
      <c r="X68" s="1010">
        <f>SUM(X61:X64)</f>
        <v>0.12</v>
      </c>
      <c r="AJ68" s="6" t="s">
        <v>730</v>
      </c>
      <c r="AK68" s="12"/>
      <c r="AL68" s="54"/>
    </row>
    <row r="69" spans="2:38">
      <c r="S69" s="1011" t="s">
        <v>786</v>
      </c>
      <c r="T69" s="1012">
        <v>0.04</v>
      </c>
      <c r="U69" s="1012">
        <v>0.05</v>
      </c>
      <c r="V69" s="1012">
        <v>0.02</v>
      </c>
      <c r="W69" s="1013">
        <v>0.02</v>
      </c>
      <c r="X69" s="1014">
        <v>0.05</v>
      </c>
      <c r="AJ69" s="6" t="s">
        <v>735</v>
      </c>
      <c r="AK69" s="12"/>
      <c r="AL69" s="54"/>
    </row>
    <row r="70" spans="2:38">
      <c r="S70" s="486" t="s">
        <v>70</v>
      </c>
      <c r="T70" s="956">
        <f>SUM(T68:T69)</f>
        <v>0.17500000000000002</v>
      </c>
      <c r="U70" s="956">
        <f>SUM(U68:U69)</f>
        <v>0.16999999999999998</v>
      </c>
      <c r="V70" s="956">
        <f>SUM(V68:V69)</f>
        <v>0.18499999999999997</v>
      </c>
      <c r="W70" s="956">
        <f>SUM(W68:W69)</f>
        <v>0.28200000000000003</v>
      </c>
      <c r="X70" s="957">
        <f>SUM(X68:X69)</f>
        <v>0.16999999999999998</v>
      </c>
      <c r="AJ70" s="6" t="s">
        <v>846</v>
      </c>
      <c r="AK70" s="12"/>
      <c r="AL70" s="54"/>
    </row>
    <row r="71" spans="2:38">
      <c r="AJ71" s="6" t="s">
        <v>847</v>
      </c>
      <c r="AK71" s="12"/>
      <c r="AL71" s="54"/>
    </row>
    <row r="72" spans="2:38">
      <c r="AJ72" s="6" t="s">
        <v>848</v>
      </c>
      <c r="AK72" s="12"/>
      <c r="AL72" s="54"/>
    </row>
    <row r="73" spans="2:38">
      <c r="AJ73" s="6" t="s">
        <v>750</v>
      </c>
      <c r="AK73" s="12"/>
      <c r="AL73" s="54"/>
    </row>
    <row r="74" spans="2:38">
      <c r="M74" s="155"/>
      <c r="N74" s="155"/>
      <c r="O74" s="155"/>
      <c r="P74" s="155"/>
      <c r="Q74" s="155"/>
      <c r="R74" s="155"/>
      <c r="S74" s="155"/>
      <c r="T74" s="155"/>
      <c r="U74" s="155"/>
      <c r="AJ74" s="6" t="s">
        <v>755</v>
      </c>
      <c r="AK74" s="12"/>
      <c r="AL74" s="54"/>
    </row>
    <row r="75" spans="2:38" ht="15">
      <c r="B75" s="174"/>
      <c r="M75" s="1190"/>
      <c r="N75" s="1191"/>
      <c r="O75" s="155"/>
      <c r="P75" s="155"/>
      <c r="Q75" s="155"/>
      <c r="R75" s="155"/>
      <c r="S75" s="155"/>
      <c r="T75" s="155"/>
      <c r="U75" s="155"/>
      <c r="AJ75" s="6" t="s">
        <v>773</v>
      </c>
      <c r="AK75" s="12"/>
      <c r="AL75" s="54"/>
    </row>
    <row r="76" spans="2:38">
      <c r="M76" s="155"/>
      <c r="N76" s="155"/>
      <c r="O76" s="155"/>
      <c r="P76" s="155"/>
      <c r="Q76" s="155"/>
      <c r="R76" s="155"/>
      <c r="S76" s="155"/>
      <c r="T76" s="155"/>
      <c r="U76" s="155"/>
      <c r="AJ76" s="6" t="s">
        <v>849</v>
      </c>
      <c r="AK76" s="12"/>
      <c r="AL76" s="54"/>
    </row>
    <row r="77" spans="2:38">
      <c r="C77" s="175"/>
      <c r="M77" s="155"/>
      <c r="N77" s="155"/>
      <c r="O77" s="155"/>
      <c r="P77" s="155"/>
      <c r="Q77" s="155"/>
      <c r="R77" s="155"/>
      <c r="S77" s="155"/>
      <c r="T77" s="155"/>
      <c r="U77" s="155"/>
      <c r="AJ77" s="6" t="s">
        <v>850</v>
      </c>
      <c r="AK77" s="12"/>
      <c r="AL77" s="54"/>
    </row>
    <row r="78" spans="2:38">
      <c r="K78" s="155"/>
      <c r="L78" s="155"/>
      <c r="M78" s="155"/>
      <c r="N78" s="155"/>
      <c r="O78" s="155"/>
      <c r="P78" s="155"/>
      <c r="Q78" s="155"/>
      <c r="R78" s="155"/>
      <c r="S78" s="155"/>
      <c r="T78" s="155"/>
      <c r="U78" s="155"/>
      <c r="AJ78" s="6" t="s">
        <v>851</v>
      </c>
      <c r="AK78" s="12"/>
      <c r="AL78" s="54"/>
    </row>
    <row r="79" spans="2:38" ht="15.75">
      <c r="F79" s="1186"/>
      <c r="G79" s="33"/>
      <c r="H79" s="155"/>
      <c r="I79" s="1187"/>
      <c r="K79" s="1186"/>
      <c r="L79" s="155"/>
      <c r="M79" s="155"/>
      <c r="N79" s="155"/>
      <c r="O79" s="155"/>
      <c r="P79" s="57"/>
      <c r="Q79" s="155"/>
      <c r="R79" s="155"/>
      <c r="S79" s="155"/>
      <c r="T79" s="155"/>
      <c r="U79" s="155"/>
      <c r="AJ79" s="6" t="s">
        <v>852</v>
      </c>
      <c r="AK79" s="12"/>
      <c r="AL79" s="54"/>
    </row>
    <row r="80" spans="2:38">
      <c r="F80" s="155"/>
      <c r="G80" s="33"/>
      <c r="H80" s="155"/>
      <c r="I80" s="1187"/>
      <c r="K80" s="155"/>
      <c r="L80" s="155"/>
      <c r="M80" s="155"/>
      <c r="N80" s="155"/>
      <c r="O80" s="155"/>
      <c r="P80" s="33"/>
      <c r="Q80" s="155"/>
      <c r="R80" s="155"/>
      <c r="S80" s="155"/>
      <c r="T80" s="155"/>
      <c r="U80" s="155"/>
      <c r="AJ80" s="69" t="s">
        <v>853</v>
      </c>
      <c r="AK80" s="21"/>
      <c r="AL80" s="557"/>
    </row>
    <row r="81" spans="6:38" ht="15.75">
      <c r="F81" s="155"/>
      <c r="G81" s="1117"/>
      <c r="H81" s="155"/>
      <c r="I81" s="1187"/>
      <c r="K81" s="1186"/>
      <c r="L81" s="1188"/>
      <c r="M81" s="155"/>
      <c r="N81" s="155"/>
      <c r="O81" s="155"/>
      <c r="P81" s="155"/>
      <c r="Q81" s="155"/>
      <c r="R81" s="155"/>
      <c r="S81" s="155"/>
      <c r="T81" s="155"/>
      <c r="U81" s="155"/>
    </row>
    <row r="82" spans="6:38" ht="16.5" thickBot="1">
      <c r="F82" s="155"/>
      <c r="G82" s="155"/>
      <c r="H82" s="155"/>
      <c r="I82" s="1187"/>
      <c r="K82" s="1192"/>
      <c r="L82" s="155"/>
      <c r="M82" s="155"/>
      <c r="N82" s="155"/>
      <c r="O82" s="155"/>
      <c r="P82" s="155"/>
      <c r="Q82" s="155"/>
      <c r="R82" s="155"/>
      <c r="S82" s="155"/>
      <c r="T82" s="155"/>
      <c r="U82" s="155"/>
      <c r="AJ82" s="1469" t="s">
        <v>854</v>
      </c>
      <c r="AK82" s="1470"/>
      <c r="AL82" s="1471"/>
    </row>
    <row r="83" spans="6:38">
      <c r="F83" s="155"/>
      <c r="G83" s="155"/>
      <c r="H83" s="155"/>
      <c r="I83" s="1187"/>
      <c r="K83" s="1192"/>
      <c r="L83" s="155"/>
      <c r="M83" s="155"/>
      <c r="N83" s="155"/>
      <c r="O83" s="155"/>
      <c r="P83" s="155"/>
      <c r="Q83" s="155"/>
      <c r="R83" s="155"/>
      <c r="S83" s="155"/>
      <c r="T83" s="155"/>
      <c r="U83" s="155"/>
      <c r="AJ83" s="6" t="s">
        <v>399</v>
      </c>
      <c r="AK83" s="12"/>
      <c r="AL83" s="54"/>
    </row>
    <row r="84" spans="6:38">
      <c r="F84" s="155"/>
      <c r="G84" s="155"/>
      <c r="H84" s="155"/>
      <c r="I84" s="1187"/>
      <c r="K84" s="155"/>
      <c r="L84" s="155"/>
      <c r="M84" s="155"/>
      <c r="N84" s="155"/>
      <c r="O84" s="155"/>
      <c r="P84" s="155"/>
      <c r="Q84" s="155"/>
      <c r="R84" s="155"/>
      <c r="S84" s="155"/>
      <c r="T84" s="155"/>
      <c r="U84" s="155"/>
      <c r="AJ84" s="6" t="s">
        <v>730</v>
      </c>
      <c r="AK84" s="12"/>
      <c r="AL84" s="54"/>
    </row>
    <row r="85" spans="6:38">
      <c r="F85" s="155"/>
      <c r="G85" s="155"/>
      <c r="H85" s="155"/>
      <c r="I85" s="1187"/>
      <c r="K85" s="155"/>
      <c r="L85" s="155"/>
      <c r="M85" s="155"/>
      <c r="N85" s="155"/>
      <c r="O85" s="155"/>
      <c r="P85" s="155"/>
      <c r="Q85" s="155"/>
      <c r="R85" s="155"/>
      <c r="S85" s="155"/>
      <c r="T85" s="155"/>
      <c r="U85" s="155"/>
      <c r="AJ85" s="6" t="s">
        <v>735</v>
      </c>
      <c r="AK85" s="12"/>
      <c r="AL85" s="54"/>
    </row>
    <row r="86" spans="6:38">
      <c r="F86" s="155"/>
      <c r="G86" s="155"/>
      <c r="H86" s="155"/>
      <c r="I86" s="1187"/>
      <c r="K86" s="1193"/>
      <c r="L86" s="155"/>
      <c r="M86" s="155"/>
      <c r="N86" s="155"/>
      <c r="O86" s="155"/>
      <c r="P86" s="155"/>
      <c r="Q86" s="155"/>
      <c r="R86" s="155"/>
      <c r="S86" s="155"/>
      <c r="T86" s="155"/>
      <c r="U86" s="155"/>
      <c r="AJ86" s="6" t="s">
        <v>846</v>
      </c>
      <c r="AK86" s="12"/>
      <c r="AL86" s="54"/>
    </row>
    <row r="87" spans="6:38">
      <c r="F87" s="155"/>
      <c r="G87" s="155"/>
      <c r="H87" s="155"/>
      <c r="I87" s="1187"/>
      <c r="K87" s="155"/>
      <c r="L87" s="155"/>
      <c r="M87" s="155"/>
      <c r="N87" s="155"/>
      <c r="O87" s="155"/>
      <c r="P87" s="155"/>
      <c r="Q87" s="155"/>
      <c r="R87" s="155"/>
      <c r="S87" s="155"/>
      <c r="T87" s="155"/>
      <c r="U87" s="155"/>
      <c r="AJ87" s="6" t="s">
        <v>847</v>
      </c>
      <c r="AK87" s="12"/>
      <c r="AL87" s="54"/>
    </row>
    <row r="88" spans="6:38">
      <c r="K88" s="155"/>
      <c r="L88" s="155"/>
      <c r="M88" s="155"/>
      <c r="N88" s="155"/>
      <c r="O88" s="155"/>
      <c r="P88" s="155"/>
      <c r="Q88" s="155"/>
      <c r="R88" s="155"/>
      <c r="S88" s="155"/>
      <c r="T88" s="155"/>
      <c r="U88" s="155"/>
      <c r="AJ88" s="6" t="s">
        <v>848</v>
      </c>
      <c r="AK88" s="12"/>
      <c r="AL88" s="54"/>
    </row>
    <row r="89" spans="6:38" ht="11.45" customHeight="1">
      <c r="F89" s="1186"/>
      <c r="G89" s="155"/>
      <c r="H89" s="155"/>
      <c r="I89" s="230"/>
      <c r="K89" s="155"/>
      <c r="L89" s="155"/>
      <c r="M89" s="155"/>
      <c r="N89" s="155"/>
      <c r="O89" s="155"/>
      <c r="P89" s="155"/>
      <c r="Q89" s="155"/>
      <c r="R89" s="155"/>
      <c r="S89" s="155"/>
      <c r="T89" s="155"/>
      <c r="U89" s="155"/>
      <c r="AJ89" s="6" t="s">
        <v>750</v>
      </c>
      <c r="AK89" s="12"/>
      <c r="AL89" s="54"/>
    </row>
    <row r="90" spans="6:38" ht="16.350000000000001" customHeight="1">
      <c r="F90" s="155"/>
      <c r="G90" s="155"/>
      <c r="H90" s="155"/>
      <c r="K90" s="1194"/>
      <c r="L90" s="1188"/>
      <c r="M90" s="155"/>
      <c r="N90" s="155"/>
      <c r="O90" s="155"/>
      <c r="P90" s="155"/>
      <c r="Q90" s="155"/>
      <c r="R90" s="155"/>
      <c r="S90" s="155"/>
      <c r="T90" s="155"/>
      <c r="U90" s="155"/>
      <c r="AJ90" s="6" t="s">
        <v>755</v>
      </c>
      <c r="AK90" s="12"/>
      <c r="AL90" s="54"/>
    </row>
    <row r="91" spans="6:38">
      <c r="F91" s="155"/>
      <c r="G91" s="33"/>
      <c r="H91" s="33"/>
      <c r="I91" s="123"/>
      <c r="K91" s="155"/>
      <c r="L91" s="155"/>
      <c r="M91" s="155"/>
      <c r="N91" s="155"/>
      <c r="O91" s="155"/>
      <c r="P91" s="155"/>
      <c r="Q91" s="155"/>
      <c r="R91" s="155"/>
      <c r="S91" s="155"/>
      <c r="T91" s="155"/>
      <c r="U91" s="155"/>
      <c r="AJ91" s="6" t="s">
        <v>773</v>
      </c>
      <c r="AK91" s="12"/>
      <c r="AL91" s="54"/>
    </row>
    <row r="92" spans="6:38">
      <c r="F92" s="155"/>
      <c r="G92" s="33"/>
      <c r="H92" s="33"/>
      <c r="I92" s="676"/>
      <c r="K92" s="155"/>
      <c r="L92" s="155"/>
      <c r="M92" s="155"/>
      <c r="N92" s="155"/>
      <c r="O92" s="155"/>
      <c r="P92" s="155"/>
      <c r="Q92" s="155"/>
      <c r="R92" s="155"/>
      <c r="S92" s="155"/>
      <c r="T92" s="155"/>
      <c r="U92" s="155"/>
      <c r="AJ92" s="6" t="s">
        <v>850</v>
      </c>
      <c r="AK92" s="12"/>
      <c r="AL92" s="54"/>
    </row>
    <row r="93" spans="6:38">
      <c r="F93" s="155"/>
      <c r="G93" s="33"/>
      <c r="H93" s="33"/>
      <c r="I93" s="676"/>
      <c r="K93" s="155"/>
      <c r="L93" s="155"/>
      <c r="M93" s="155"/>
      <c r="N93" s="155"/>
      <c r="O93" s="155"/>
      <c r="P93" s="155"/>
      <c r="Q93" s="155"/>
      <c r="R93" s="155"/>
      <c r="S93" s="155"/>
      <c r="T93" s="155"/>
      <c r="U93" s="155"/>
      <c r="AJ93" s="6" t="s">
        <v>646</v>
      </c>
      <c r="AK93" s="12"/>
      <c r="AL93" s="54"/>
    </row>
    <row r="94" spans="6:38">
      <c r="F94" s="155"/>
      <c r="G94" s="33"/>
      <c r="H94" s="33"/>
      <c r="I94" s="676"/>
      <c r="K94" s="155"/>
      <c r="L94" s="155"/>
      <c r="M94" s="155"/>
      <c r="N94" s="155"/>
      <c r="O94" s="155"/>
      <c r="P94" s="155"/>
      <c r="Q94" s="155"/>
      <c r="R94" s="155"/>
      <c r="S94" s="155"/>
      <c r="T94" s="155"/>
      <c r="U94" s="155"/>
      <c r="AJ94" s="6" t="s">
        <v>855</v>
      </c>
      <c r="AK94" s="12"/>
      <c r="AL94" s="54"/>
    </row>
    <row r="95" spans="6:38">
      <c r="F95" s="155"/>
      <c r="G95" s="33"/>
      <c r="H95" s="33"/>
      <c r="I95" s="676"/>
      <c r="K95" s="155"/>
      <c r="L95" s="155"/>
      <c r="M95" s="155"/>
      <c r="N95" s="155"/>
      <c r="O95" s="155"/>
      <c r="P95" s="155"/>
      <c r="Q95" s="155"/>
      <c r="R95" s="155"/>
      <c r="S95" s="155"/>
      <c r="T95" s="155"/>
      <c r="U95" s="155"/>
      <c r="AJ95" s="6" t="s">
        <v>852</v>
      </c>
      <c r="AK95" s="12"/>
      <c r="AL95" s="54"/>
    </row>
    <row r="96" spans="6:38">
      <c r="F96" s="155"/>
      <c r="G96" s="155"/>
      <c r="H96" s="155"/>
      <c r="I96" s="676"/>
      <c r="K96" s="155"/>
      <c r="L96" s="155"/>
      <c r="M96" s="155"/>
      <c r="N96" s="155"/>
      <c r="O96" s="155"/>
      <c r="P96" s="155"/>
      <c r="Q96" s="155"/>
      <c r="R96" s="155"/>
      <c r="S96" s="155"/>
      <c r="T96" s="155"/>
      <c r="U96" s="155"/>
      <c r="AJ96" s="6" t="s">
        <v>808</v>
      </c>
      <c r="AK96" s="12"/>
      <c r="AL96" s="54"/>
    </row>
    <row r="97" spans="6:38">
      <c r="I97" s="676"/>
      <c r="K97" s="1195"/>
      <c r="L97" s="155"/>
      <c r="M97" s="155"/>
      <c r="N97" s="155"/>
      <c r="O97" s="155"/>
      <c r="P97" s="155"/>
      <c r="Q97" s="155"/>
      <c r="R97" s="155"/>
      <c r="S97" s="155"/>
      <c r="T97" s="155"/>
      <c r="U97" s="155"/>
      <c r="AJ97" s="69" t="s">
        <v>853</v>
      </c>
      <c r="AK97" s="21"/>
      <c r="AL97" s="557"/>
    </row>
    <row r="98" spans="6:38">
      <c r="F98" s="155"/>
      <c r="G98" s="155"/>
      <c r="H98" s="155"/>
      <c r="I98" s="676"/>
      <c r="K98" s="155"/>
      <c r="L98" s="155"/>
      <c r="M98" s="155"/>
      <c r="N98" s="155"/>
      <c r="O98" s="155"/>
      <c r="P98" s="155"/>
      <c r="Q98" s="155"/>
      <c r="R98" s="155"/>
      <c r="S98" s="155"/>
      <c r="T98" s="155"/>
      <c r="U98" s="155"/>
    </row>
    <row r="99" spans="6:38" ht="15.75">
      <c r="F99" s="1116"/>
      <c r="G99" s="12"/>
      <c r="H99" s="33"/>
      <c r="I99" s="676"/>
      <c r="K99" s="155"/>
      <c r="L99" s="155"/>
      <c r="M99" s="155"/>
      <c r="N99" s="155"/>
      <c r="O99" s="155"/>
      <c r="P99" s="155"/>
      <c r="Q99" s="155"/>
      <c r="R99" s="155"/>
      <c r="S99" s="155"/>
      <c r="T99" s="155"/>
      <c r="U99" s="155"/>
    </row>
    <row r="100" spans="6:38">
      <c r="F100" s="12"/>
      <c r="G100" s="12"/>
      <c r="H100" s="33"/>
      <c r="I100" s="676"/>
      <c r="K100" s="155"/>
      <c r="L100" s="155"/>
      <c r="M100" s="155"/>
      <c r="N100" s="155"/>
      <c r="O100" s="155"/>
      <c r="P100" s="155"/>
      <c r="Q100" s="155"/>
      <c r="R100" s="155"/>
      <c r="S100" s="155"/>
      <c r="T100" s="155"/>
      <c r="U100" s="155"/>
    </row>
    <row r="101" spans="6:38">
      <c r="F101" s="12"/>
      <c r="G101" s="89"/>
      <c r="H101" s="1117"/>
      <c r="I101" s="123"/>
      <c r="K101" s="155"/>
      <c r="L101" s="155"/>
      <c r="M101" s="155"/>
      <c r="N101" s="155"/>
      <c r="O101" s="155"/>
      <c r="P101" s="155"/>
      <c r="Q101" s="155"/>
      <c r="R101" s="155"/>
      <c r="S101" s="155"/>
      <c r="T101" s="155"/>
      <c r="U101" s="155"/>
    </row>
    <row r="102" spans="6:38" ht="15">
      <c r="F102" s="76"/>
      <c r="G102" s="89"/>
      <c r="H102" s="62"/>
      <c r="I102" s="123"/>
      <c r="K102" s="155"/>
      <c r="L102" s="155"/>
      <c r="M102" s="155"/>
      <c r="N102" s="155"/>
      <c r="O102" s="155"/>
      <c r="P102" s="155"/>
      <c r="Q102" s="155"/>
      <c r="R102" s="155"/>
      <c r="S102" s="155"/>
      <c r="T102" s="155"/>
      <c r="U102" s="155"/>
    </row>
    <row r="103" spans="6:38">
      <c r="F103" s="12"/>
      <c r="G103" s="12"/>
      <c r="H103" s="12"/>
      <c r="K103" s="155"/>
      <c r="L103" s="155"/>
      <c r="M103" s="155"/>
      <c r="N103" s="155"/>
      <c r="O103" s="155"/>
      <c r="P103" s="155"/>
      <c r="Q103" s="155"/>
      <c r="R103" s="155"/>
      <c r="S103" s="155"/>
      <c r="T103" s="155"/>
      <c r="U103" s="155"/>
    </row>
    <row r="104" spans="6:38">
      <c r="F104" s="155"/>
      <c r="G104" s="131"/>
      <c r="H104" s="131"/>
      <c r="K104" s="155"/>
      <c r="L104" s="155"/>
      <c r="M104" s="155"/>
      <c r="N104" s="155"/>
      <c r="O104" s="155"/>
      <c r="P104" s="155"/>
      <c r="Q104" s="155"/>
      <c r="R104" s="155"/>
      <c r="S104" s="155"/>
      <c r="T104" s="155"/>
      <c r="U104" s="155"/>
    </row>
    <row r="105" spans="6:38">
      <c r="F105" s="155"/>
      <c r="G105" s="131"/>
      <c r="H105" s="131"/>
      <c r="K105" s="155"/>
      <c r="L105" s="155"/>
      <c r="M105" s="155"/>
      <c r="N105" s="155"/>
      <c r="O105" s="155"/>
      <c r="P105" s="155"/>
      <c r="Q105" s="155"/>
      <c r="R105" s="155"/>
      <c r="S105" s="155"/>
      <c r="T105" s="155"/>
      <c r="U105" s="155"/>
    </row>
    <row r="106" spans="6:38">
      <c r="F106" s="155"/>
      <c r="G106" s="131"/>
      <c r="H106" s="131"/>
      <c r="K106" s="155"/>
      <c r="L106" s="155"/>
      <c r="M106" s="155"/>
      <c r="N106" s="155"/>
      <c r="O106" s="155"/>
      <c r="P106" s="155"/>
      <c r="Q106" s="155"/>
      <c r="R106" s="155"/>
      <c r="S106" s="155"/>
      <c r="T106" s="155"/>
      <c r="U106" s="155"/>
      <c r="V106" s="123"/>
      <c r="W106" s="123"/>
      <c r="X106" s="123"/>
      <c r="Y106" s="123"/>
    </row>
    <row r="107" spans="6:38">
      <c r="F107" s="155"/>
      <c r="G107" s="131"/>
      <c r="H107" s="131"/>
      <c r="K107" s="1195"/>
      <c r="L107" s="155"/>
      <c r="M107" s="155"/>
      <c r="N107" s="155"/>
      <c r="O107" s="155"/>
      <c r="P107" s="155"/>
      <c r="Q107" s="155"/>
      <c r="R107" s="155"/>
      <c r="S107" s="155"/>
      <c r="T107" s="155"/>
      <c r="U107" s="155"/>
      <c r="V107" s="123"/>
      <c r="W107" s="123"/>
      <c r="X107" s="123"/>
      <c r="Y107" s="123"/>
    </row>
    <row r="108" spans="6:38">
      <c r="F108" s="155"/>
      <c r="G108" s="131"/>
      <c r="H108" s="131"/>
      <c r="K108" s="155"/>
      <c r="L108" s="155"/>
      <c r="M108" s="155"/>
      <c r="N108" s="155"/>
      <c r="O108" s="155"/>
      <c r="P108" s="155"/>
      <c r="Q108" s="155"/>
      <c r="R108" s="155"/>
      <c r="S108" s="155"/>
      <c r="T108" s="155"/>
      <c r="U108" s="155"/>
      <c r="V108" s="123"/>
      <c r="W108" s="123"/>
      <c r="X108" s="123"/>
      <c r="Y108" s="123"/>
    </row>
    <row r="109" spans="6:38">
      <c r="F109" s="155"/>
      <c r="G109" s="131"/>
      <c r="H109" s="131"/>
      <c r="K109" s="155"/>
      <c r="L109" s="155"/>
      <c r="M109" s="155"/>
      <c r="N109" s="155"/>
      <c r="O109" s="155"/>
      <c r="P109" s="155"/>
      <c r="Q109" s="155"/>
      <c r="R109" s="155"/>
      <c r="S109" s="155"/>
      <c r="T109" s="155"/>
      <c r="U109" s="155"/>
      <c r="V109" s="123"/>
      <c r="W109" s="123"/>
      <c r="X109" s="123"/>
      <c r="Y109" s="123"/>
    </row>
    <row r="110" spans="6:38">
      <c r="F110" s="155"/>
      <c r="G110" s="131"/>
      <c r="H110" s="131"/>
      <c r="K110" s="155"/>
      <c r="L110" s="155"/>
      <c r="M110" s="155"/>
      <c r="N110" s="155"/>
      <c r="O110" s="155"/>
      <c r="P110" s="155"/>
      <c r="Q110" s="155"/>
      <c r="R110" s="155"/>
      <c r="S110" s="155"/>
      <c r="T110" s="155"/>
      <c r="U110" s="155"/>
      <c r="V110" s="123"/>
      <c r="W110" s="123"/>
      <c r="X110" s="123"/>
      <c r="Y110" s="123"/>
    </row>
    <row r="111" spans="6:38">
      <c r="F111" s="155"/>
      <c r="G111" s="131"/>
      <c r="H111" s="131"/>
      <c r="K111" s="155"/>
      <c r="L111" s="155"/>
      <c r="M111" s="155"/>
      <c r="N111" s="155"/>
      <c r="O111" s="155"/>
      <c r="P111" s="155"/>
      <c r="Q111" s="155"/>
      <c r="R111" s="155"/>
      <c r="S111" s="155"/>
      <c r="T111" s="155"/>
      <c r="U111" s="155"/>
      <c r="V111" s="155"/>
      <c r="W111" s="155"/>
      <c r="X111" s="155"/>
      <c r="Y111" s="155"/>
      <c r="Z111" s="155"/>
      <c r="AA111" s="155"/>
      <c r="AB111" s="155"/>
    </row>
    <row r="112" spans="6:38">
      <c r="K112" s="155"/>
      <c r="L112" s="155"/>
      <c r="M112" s="155"/>
      <c r="N112" s="155"/>
      <c r="O112" s="155"/>
      <c r="P112" s="155"/>
      <c r="Q112" s="155"/>
      <c r="R112" s="155"/>
      <c r="S112" s="155"/>
      <c r="T112" s="155"/>
      <c r="U112" s="155"/>
      <c r="V112" s="155"/>
      <c r="W112" s="155"/>
      <c r="X112" s="155"/>
      <c r="Y112" s="155"/>
      <c r="Z112" s="155"/>
      <c r="AA112" s="155"/>
      <c r="AB112" s="155"/>
    </row>
    <row r="113" spans="11:28">
      <c r="K113" s="155"/>
      <c r="L113" s="155"/>
      <c r="M113" s="155"/>
      <c r="N113" s="155"/>
      <c r="O113" s="155"/>
      <c r="P113" s="155"/>
      <c r="Q113" s="155"/>
      <c r="R113" s="155"/>
      <c r="S113" s="155"/>
      <c r="T113" s="155"/>
      <c r="U113" s="155"/>
      <c r="V113" s="155"/>
      <c r="W113" s="155"/>
      <c r="X113" s="155"/>
      <c r="Y113" s="155"/>
      <c r="Z113" s="155"/>
      <c r="AA113" s="155"/>
      <c r="AB113" s="155"/>
    </row>
    <row r="114" spans="11:28">
      <c r="K114" s="155"/>
      <c r="L114" s="155"/>
      <c r="M114" s="155"/>
      <c r="N114" s="155"/>
      <c r="O114" s="155"/>
      <c r="P114" s="155"/>
      <c r="Q114" s="155"/>
      <c r="R114" s="155"/>
      <c r="S114" s="155"/>
      <c r="T114" s="155"/>
      <c r="U114" s="155"/>
      <c r="V114" s="155"/>
      <c r="W114" s="155"/>
      <c r="X114" s="155"/>
      <c r="Y114" s="155"/>
      <c r="Z114" s="155"/>
      <c r="AA114" s="155"/>
      <c r="AB114" s="155"/>
    </row>
    <row r="115" spans="11:28">
      <c r="K115" s="1195"/>
      <c r="L115" s="155"/>
      <c r="M115" s="155"/>
      <c r="N115" s="155"/>
      <c r="O115" s="155"/>
      <c r="P115" s="155"/>
      <c r="Q115" s="155"/>
      <c r="R115" s="155"/>
      <c r="S115" s="155"/>
      <c r="T115" s="155"/>
      <c r="U115" s="155"/>
      <c r="V115" s="155"/>
      <c r="W115" s="155"/>
      <c r="X115" s="155"/>
      <c r="Y115" s="155"/>
      <c r="Z115" s="155"/>
      <c r="AA115" s="155"/>
      <c r="AB115" s="155"/>
    </row>
    <row r="116" spans="11:28">
      <c r="K116" s="155"/>
      <c r="L116" s="155"/>
      <c r="M116" s="155"/>
      <c r="N116" s="155"/>
      <c r="O116" s="155"/>
      <c r="P116" s="155"/>
      <c r="Q116" s="155"/>
      <c r="R116" s="155"/>
      <c r="S116" s="155"/>
      <c r="T116" s="155"/>
      <c r="U116" s="155"/>
      <c r="V116" s="155"/>
      <c r="W116" s="155"/>
      <c r="X116" s="155"/>
      <c r="Y116" s="155"/>
      <c r="Z116" s="155"/>
      <c r="AA116" s="155"/>
      <c r="AB116" s="155"/>
    </row>
    <row r="117" spans="11:28">
      <c r="K117" s="155"/>
      <c r="L117" s="155"/>
      <c r="M117" s="155"/>
      <c r="N117" s="155"/>
      <c r="O117" s="155"/>
      <c r="P117" s="155"/>
      <c r="Q117" s="155"/>
      <c r="R117" s="155"/>
      <c r="S117" s="155"/>
      <c r="T117" s="155"/>
      <c r="U117" s="155"/>
      <c r="V117" s="155"/>
      <c r="W117" s="155"/>
      <c r="X117" s="155"/>
      <c r="Y117" s="155"/>
      <c r="Z117" s="155"/>
      <c r="AA117" s="155"/>
      <c r="AB117" s="155"/>
    </row>
    <row r="118" spans="11:28">
      <c r="K118" s="155"/>
      <c r="L118" s="155"/>
      <c r="M118" s="155"/>
      <c r="N118" s="155"/>
      <c r="O118" s="155"/>
      <c r="P118" s="155"/>
      <c r="Q118" s="155"/>
      <c r="R118" s="155"/>
      <c r="S118" s="155"/>
      <c r="T118" s="155"/>
      <c r="U118" s="155"/>
      <c r="V118" s="155"/>
      <c r="W118" s="155"/>
      <c r="X118" s="155"/>
      <c r="Y118" s="155"/>
      <c r="Z118" s="155"/>
      <c r="AA118" s="155"/>
      <c r="AB118" s="155"/>
    </row>
    <row r="119" spans="11:28">
      <c r="K119" s="1195"/>
      <c r="L119" s="155"/>
      <c r="M119" s="155"/>
      <c r="N119" s="155"/>
      <c r="O119" s="155"/>
      <c r="P119" s="155"/>
      <c r="Q119" s="155"/>
      <c r="R119" s="155"/>
      <c r="S119" s="155"/>
      <c r="T119" s="155"/>
      <c r="U119" s="155"/>
      <c r="V119" s="155"/>
      <c r="W119" s="155"/>
      <c r="X119" s="155"/>
      <c r="Y119" s="155"/>
      <c r="Z119" s="155"/>
      <c r="AA119" s="155"/>
      <c r="AB119" s="155"/>
    </row>
    <row r="120" spans="11:28">
      <c r="K120" s="155"/>
      <c r="L120" s="155"/>
      <c r="M120" s="155"/>
      <c r="N120" s="155"/>
      <c r="O120" s="155"/>
      <c r="P120" s="155"/>
      <c r="Q120" s="155"/>
      <c r="R120" s="155"/>
      <c r="S120" s="155"/>
      <c r="T120" s="155"/>
      <c r="U120" s="155"/>
      <c r="V120" s="155"/>
      <c r="W120" s="155"/>
      <c r="X120" s="155"/>
      <c r="Y120" s="155"/>
      <c r="Z120" s="155"/>
      <c r="AA120" s="155"/>
      <c r="AB120" s="155"/>
    </row>
    <row r="121" spans="11:28">
      <c r="K121" s="155"/>
      <c r="L121" s="155"/>
      <c r="M121" s="155"/>
      <c r="N121" s="155"/>
      <c r="O121" s="155"/>
      <c r="P121" s="155"/>
      <c r="Q121" s="155"/>
      <c r="R121" s="155"/>
      <c r="S121" s="155"/>
      <c r="T121" s="155"/>
      <c r="U121" s="155"/>
      <c r="V121" s="155"/>
      <c r="W121" s="155"/>
      <c r="X121" s="155"/>
      <c r="Y121" s="155"/>
      <c r="Z121" s="155"/>
      <c r="AA121" s="155"/>
      <c r="AB121" s="155"/>
    </row>
    <row r="122" spans="11:28">
      <c r="K122" s="155"/>
      <c r="L122" s="155"/>
      <c r="M122" s="155"/>
      <c r="N122" s="155"/>
      <c r="O122" s="155"/>
      <c r="P122" s="155"/>
      <c r="Q122" s="155"/>
      <c r="R122" s="155"/>
      <c r="S122" s="155"/>
      <c r="T122" s="155"/>
      <c r="U122" s="155"/>
      <c r="V122" s="155"/>
      <c r="W122" s="155"/>
      <c r="X122" s="155"/>
      <c r="Y122" s="155"/>
      <c r="Z122" s="155"/>
      <c r="AA122" s="155"/>
      <c r="AB122" s="155"/>
    </row>
    <row r="123" spans="11:28">
      <c r="K123" s="155"/>
      <c r="L123" s="155"/>
      <c r="M123" s="155"/>
      <c r="N123" s="155"/>
      <c r="O123" s="155"/>
      <c r="P123" s="155"/>
      <c r="Q123" s="155"/>
      <c r="R123" s="155"/>
      <c r="S123" s="155"/>
      <c r="T123" s="155"/>
      <c r="U123" s="155"/>
      <c r="V123" s="155"/>
      <c r="W123" s="155"/>
      <c r="X123" s="155"/>
      <c r="Y123" s="155"/>
      <c r="Z123" s="155"/>
      <c r="AA123" s="155"/>
      <c r="AB123" s="155"/>
    </row>
    <row r="124" spans="11:28">
      <c r="K124" s="155"/>
      <c r="L124" s="155"/>
      <c r="M124" s="155"/>
      <c r="N124" s="155"/>
      <c r="O124" s="155"/>
      <c r="P124" s="155"/>
      <c r="Q124" s="155"/>
      <c r="R124" s="155"/>
      <c r="S124" s="155"/>
      <c r="T124" s="155"/>
      <c r="U124" s="155"/>
      <c r="V124" s="155"/>
      <c r="W124" s="155"/>
      <c r="X124" s="155"/>
      <c r="Y124" s="155"/>
      <c r="Z124" s="155"/>
      <c r="AA124" s="155"/>
      <c r="AB124" s="155"/>
    </row>
    <row r="125" spans="11:28">
      <c r="K125" s="155"/>
      <c r="L125" s="155"/>
      <c r="M125" s="155"/>
      <c r="N125" s="155"/>
      <c r="O125" s="155"/>
      <c r="P125" s="155"/>
      <c r="Q125" s="155"/>
      <c r="R125" s="155"/>
      <c r="S125" s="155"/>
      <c r="T125" s="155"/>
      <c r="U125" s="155"/>
      <c r="V125" s="155"/>
      <c r="W125" s="155"/>
      <c r="X125" s="155"/>
      <c r="Y125" s="155"/>
      <c r="Z125" s="155"/>
      <c r="AA125" s="155"/>
      <c r="AB125" s="155"/>
    </row>
    <row r="126" spans="11:28">
      <c r="K126" s="155"/>
      <c r="L126" s="1189"/>
      <c r="M126" s="155"/>
      <c r="N126" s="155"/>
      <c r="O126" s="155"/>
      <c r="P126" s="155"/>
      <c r="Q126" s="155"/>
      <c r="R126" s="155"/>
      <c r="S126" s="155"/>
      <c r="T126" s="155"/>
      <c r="U126" s="155"/>
      <c r="V126" s="155"/>
      <c r="W126" s="155"/>
      <c r="X126" s="155"/>
      <c r="Y126" s="155"/>
      <c r="Z126" s="155"/>
      <c r="AA126" s="155"/>
      <c r="AB126" s="155"/>
    </row>
    <row r="127" spans="11:28">
      <c r="K127" s="155"/>
      <c r="L127" s="1189"/>
      <c r="M127" s="155"/>
      <c r="N127" s="155"/>
      <c r="O127" s="155"/>
      <c r="P127" s="155"/>
      <c r="Q127" s="155"/>
      <c r="R127" s="155"/>
      <c r="S127" s="155"/>
      <c r="T127" s="155"/>
      <c r="U127" s="155"/>
      <c r="V127" s="155"/>
      <c r="W127" s="155"/>
      <c r="X127" s="155"/>
      <c r="Y127" s="155"/>
      <c r="Z127" s="155"/>
      <c r="AA127" s="155"/>
      <c r="AB127" s="155"/>
    </row>
    <row r="128" spans="11:28">
      <c r="K128" s="155"/>
      <c r="L128" s="1189"/>
      <c r="M128" s="155"/>
      <c r="N128" s="155"/>
      <c r="O128" s="155"/>
      <c r="P128" s="155"/>
      <c r="Q128" s="155"/>
      <c r="R128" s="155"/>
      <c r="S128" s="155"/>
      <c r="T128" s="155"/>
      <c r="U128" s="155"/>
      <c r="V128" s="155"/>
      <c r="W128" s="155"/>
      <c r="X128" s="155"/>
      <c r="Y128" s="155"/>
      <c r="Z128" s="155"/>
      <c r="AA128" s="155"/>
      <c r="AB128" s="155"/>
    </row>
    <row r="129" spans="11:28">
      <c r="K129" s="155"/>
      <c r="L129" s="1189"/>
      <c r="M129" s="155"/>
      <c r="N129" s="155"/>
      <c r="O129" s="155"/>
      <c r="P129" s="155"/>
      <c r="Q129" s="155"/>
      <c r="R129" s="155"/>
      <c r="S129" s="155"/>
      <c r="T129" s="155"/>
      <c r="U129" s="155"/>
      <c r="V129" s="155"/>
      <c r="W129" s="155"/>
      <c r="X129" s="155"/>
      <c r="Y129" s="155"/>
      <c r="Z129" s="155"/>
      <c r="AA129" s="155"/>
      <c r="AB129" s="155"/>
    </row>
    <row r="130" spans="11:28">
      <c r="K130" s="155"/>
      <c r="L130" s="155"/>
      <c r="M130" s="155"/>
      <c r="N130" s="155"/>
      <c r="O130" s="155"/>
      <c r="P130" s="155"/>
      <c r="Q130" s="155"/>
      <c r="R130" s="155"/>
      <c r="S130" s="155"/>
      <c r="T130" s="155"/>
      <c r="U130" s="155"/>
      <c r="V130" s="155"/>
      <c r="W130" s="155"/>
      <c r="X130" s="155"/>
      <c r="Y130" s="155"/>
      <c r="Z130" s="155"/>
      <c r="AA130" s="155"/>
      <c r="AB130" s="155"/>
    </row>
    <row r="131" spans="11:28">
      <c r="K131" s="155"/>
      <c r="L131" s="155"/>
      <c r="M131" s="155"/>
      <c r="N131" s="155"/>
      <c r="O131" s="155"/>
      <c r="P131" s="155"/>
      <c r="Q131" s="155"/>
      <c r="R131" s="155"/>
      <c r="S131" s="155"/>
      <c r="T131" s="155"/>
      <c r="U131" s="155"/>
      <c r="V131" s="155"/>
      <c r="W131" s="155"/>
      <c r="X131" s="155"/>
      <c r="Y131" s="155"/>
      <c r="Z131" s="155"/>
      <c r="AA131" s="155"/>
      <c r="AB131" s="155"/>
    </row>
    <row r="132" spans="11:28">
      <c r="K132" s="1195"/>
      <c r="L132" s="155"/>
      <c r="M132" s="155"/>
      <c r="N132" s="155"/>
      <c r="O132" s="155"/>
      <c r="P132" s="155"/>
      <c r="Q132" s="155"/>
      <c r="R132" s="155"/>
      <c r="S132" s="155"/>
      <c r="T132" s="155"/>
      <c r="U132" s="155"/>
      <c r="V132" s="155"/>
      <c r="W132" s="155"/>
      <c r="X132" s="155"/>
      <c r="Y132" s="155"/>
      <c r="Z132" s="155"/>
      <c r="AA132" s="155"/>
      <c r="AB132" s="155"/>
    </row>
    <row r="133" spans="11:28">
      <c r="K133" s="155"/>
      <c r="L133" s="155"/>
      <c r="M133" s="155"/>
      <c r="N133" s="155"/>
      <c r="O133" s="155"/>
      <c r="P133" s="155"/>
      <c r="Q133" s="155"/>
      <c r="R133" s="155"/>
      <c r="S133" s="155"/>
      <c r="T133" s="155"/>
      <c r="U133" s="155"/>
      <c r="V133" s="155"/>
      <c r="W133" s="155"/>
      <c r="X133" s="155"/>
      <c r="Y133" s="155"/>
      <c r="Z133" s="155"/>
      <c r="AA133" s="155"/>
      <c r="AB133" s="155"/>
    </row>
    <row r="134" spans="11:28">
      <c r="K134" s="155"/>
      <c r="L134" s="155"/>
      <c r="M134" s="155"/>
      <c r="N134" s="155"/>
      <c r="O134" s="155"/>
      <c r="P134" s="155"/>
      <c r="Q134" s="155"/>
      <c r="R134" s="155"/>
      <c r="S134" s="155"/>
      <c r="T134" s="155"/>
      <c r="U134" s="155"/>
      <c r="V134" s="155"/>
      <c r="W134" s="155"/>
      <c r="X134" s="155"/>
      <c r="Y134" s="155"/>
      <c r="Z134" s="155"/>
      <c r="AA134" s="155"/>
      <c r="AB134" s="155"/>
    </row>
    <row r="135" spans="11:28">
      <c r="K135" s="155"/>
      <c r="L135" s="155"/>
      <c r="M135" s="155"/>
      <c r="N135" s="155"/>
      <c r="O135" s="155"/>
      <c r="P135" s="155"/>
      <c r="Q135" s="155"/>
      <c r="R135" s="155"/>
      <c r="S135" s="155"/>
      <c r="T135" s="155"/>
      <c r="U135" s="155"/>
      <c r="V135" s="155"/>
      <c r="W135" s="155"/>
      <c r="X135" s="155"/>
      <c r="Y135" s="155"/>
      <c r="Z135" s="155"/>
      <c r="AA135" s="155"/>
      <c r="AB135" s="155"/>
    </row>
    <row r="136" spans="11:28">
      <c r="K136" s="155"/>
      <c r="L136" s="155"/>
      <c r="M136" s="155"/>
      <c r="N136" s="155"/>
      <c r="O136" s="155"/>
      <c r="P136" s="155"/>
      <c r="Q136" s="155"/>
      <c r="R136" s="155"/>
      <c r="S136" s="155"/>
      <c r="T136" s="155"/>
      <c r="U136" s="155"/>
      <c r="V136" s="155"/>
      <c r="W136" s="155"/>
      <c r="X136" s="155"/>
      <c r="Y136" s="155"/>
      <c r="Z136" s="155"/>
      <c r="AA136" s="155"/>
      <c r="AB136" s="155"/>
    </row>
    <row r="137" spans="11:28">
      <c r="K137" s="155"/>
      <c r="L137" s="155"/>
      <c r="M137" s="155"/>
      <c r="N137" s="155"/>
      <c r="O137" s="155"/>
      <c r="P137" s="155"/>
      <c r="Q137" s="155"/>
      <c r="R137" s="155"/>
      <c r="S137" s="155"/>
      <c r="T137" s="155"/>
      <c r="U137" s="155"/>
      <c r="V137" s="155"/>
      <c r="W137" s="155"/>
      <c r="X137" s="155"/>
      <c r="Y137" s="155"/>
      <c r="Z137" s="155"/>
      <c r="AA137" s="155"/>
      <c r="AB137" s="155"/>
    </row>
    <row r="138" spans="11:28">
      <c r="K138" s="155"/>
      <c r="L138" s="155"/>
      <c r="M138" s="155"/>
      <c r="N138" s="155"/>
      <c r="O138" s="155"/>
      <c r="P138" s="155"/>
      <c r="Q138" s="155"/>
      <c r="R138" s="155"/>
      <c r="S138" s="155"/>
      <c r="T138" s="155"/>
      <c r="U138" s="155"/>
    </row>
    <row r="139" spans="11:28">
      <c r="K139" s="1195"/>
      <c r="L139" s="155"/>
      <c r="M139" s="155"/>
      <c r="N139" s="155"/>
      <c r="O139" s="155"/>
      <c r="P139" s="155"/>
      <c r="Q139" s="155"/>
      <c r="R139" s="155"/>
      <c r="S139" s="155"/>
      <c r="T139" s="155"/>
      <c r="U139" s="155"/>
    </row>
    <row r="140" spans="11:28">
      <c r="K140" s="155"/>
      <c r="L140" s="155"/>
      <c r="M140" s="155"/>
      <c r="N140" s="155"/>
      <c r="O140" s="155"/>
      <c r="P140" s="155"/>
      <c r="Q140" s="155"/>
      <c r="R140" s="155"/>
      <c r="S140" s="155"/>
      <c r="T140" s="155"/>
      <c r="U140" s="155"/>
    </row>
    <row r="141" spans="11:28">
      <c r="K141" s="155"/>
      <c r="L141" s="155"/>
      <c r="M141" s="155"/>
      <c r="N141" s="155"/>
      <c r="O141" s="155"/>
      <c r="P141" s="155"/>
      <c r="Q141" s="155"/>
      <c r="R141" s="155"/>
      <c r="S141" s="155"/>
      <c r="T141" s="155"/>
      <c r="U141" s="155"/>
    </row>
    <row r="142" spans="11:28">
      <c r="K142" s="155"/>
      <c r="L142" s="155"/>
      <c r="M142" s="155"/>
      <c r="N142" s="155"/>
      <c r="O142" s="155"/>
      <c r="P142" s="155"/>
      <c r="Q142" s="155"/>
      <c r="R142" s="155"/>
      <c r="S142" s="155"/>
      <c r="T142" s="155"/>
      <c r="U142" s="155"/>
    </row>
    <row r="143" spans="11:28">
      <c r="K143" s="155"/>
      <c r="L143" s="155"/>
      <c r="M143" s="155"/>
      <c r="N143" s="155"/>
      <c r="O143" s="155"/>
      <c r="P143" s="155"/>
      <c r="Q143" s="155"/>
      <c r="R143" s="155"/>
      <c r="S143" s="155"/>
      <c r="T143" s="155"/>
      <c r="U143" s="155"/>
    </row>
    <row r="144" spans="11:28">
      <c r="K144" s="155"/>
      <c r="L144" s="155"/>
      <c r="M144" s="155"/>
      <c r="N144" s="155"/>
      <c r="O144" s="155"/>
      <c r="P144" s="155"/>
      <c r="Q144" s="155"/>
      <c r="R144" s="155"/>
      <c r="S144" s="155"/>
      <c r="T144" s="155"/>
      <c r="U144" s="155"/>
    </row>
    <row r="145" spans="11:21">
      <c r="K145" s="155"/>
      <c r="L145" s="155"/>
      <c r="M145" s="155"/>
      <c r="N145" s="155"/>
      <c r="O145" s="155"/>
      <c r="P145" s="155"/>
      <c r="Q145" s="155"/>
      <c r="R145" s="155"/>
      <c r="S145" s="155"/>
      <c r="T145" s="155"/>
      <c r="U145" s="155"/>
    </row>
    <row r="146" spans="11:21">
      <c r="K146" s="155"/>
      <c r="L146" s="155"/>
      <c r="M146" s="155"/>
      <c r="N146" s="155"/>
      <c r="O146" s="155"/>
      <c r="P146" s="155"/>
      <c r="Q146" s="155"/>
      <c r="R146" s="155"/>
      <c r="S146" s="155"/>
      <c r="T146" s="155"/>
      <c r="U146" s="155"/>
    </row>
    <row r="147" spans="11:21">
      <c r="K147" s="155"/>
      <c r="L147" s="155"/>
      <c r="M147" s="155"/>
      <c r="N147" s="155"/>
      <c r="O147" s="155"/>
      <c r="P147" s="155"/>
      <c r="Q147" s="155"/>
      <c r="R147" s="155"/>
      <c r="S147" s="155"/>
      <c r="T147" s="155"/>
      <c r="U147" s="155"/>
    </row>
    <row r="148" spans="11:21">
      <c r="K148" s="155"/>
      <c r="L148" s="155"/>
      <c r="M148" s="155"/>
      <c r="N148" s="155"/>
      <c r="O148" s="155"/>
      <c r="P148" s="155"/>
      <c r="Q148" s="155"/>
      <c r="R148" s="155"/>
      <c r="S148" s="155"/>
      <c r="T148" s="155"/>
      <c r="U148" s="155"/>
    </row>
    <row r="149" spans="11:21">
      <c r="K149" s="1195"/>
      <c r="L149" s="155"/>
      <c r="M149" s="155"/>
      <c r="N149" s="155"/>
      <c r="O149" s="155"/>
      <c r="P149" s="155"/>
      <c r="Q149" s="155"/>
      <c r="R149" s="155"/>
      <c r="S149" s="155"/>
      <c r="T149" s="155"/>
      <c r="U149" s="155"/>
    </row>
    <row r="150" spans="11:21">
      <c r="K150" s="155"/>
      <c r="L150" s="155"/>
      <c r="M150" s="155"/>
      <c r="N150" s="155"/>
      <c r="O150" s="155"/>
      <c r="P150" s="155"/>
      <c r="Q150" s="155"/>
      <c r="R150" s="155"/>
      <c r="S150" s="155"/>
      <c r="T150" s="155"/>
      <c r="U150" s="155"/>
    </row>
    <row r="151" spans="11:21">
      <c r="K151" s="155"/>
      <c r="L151" s="155"/>
      <c r="M151" s="155"/>
      <c r="N151" s="155"/>
      <c r="O151" s="155"/>
      <c r="P151" s="155"/>
      <c r="Q151" s="155"/>
      <c r="R151" s="155"/>
      <c r="S151" s="155"/>
      <c r="T151" s="155"/>
      <c r="U151" s="155"/>
    </row>
    <row r="152" spans="11:21">
      <c r="K152" s="155"/>
      <c r="L152" s="155"/>
      <c r="M152" s="155"/>
      <c r="N152" s="155"/>
      <c r="O152" s="155"/>
      <c r="P152" s="155"/>
      <c r="Q152" s="155"/>
      <c r="R152" s="155"/>
      <c r="S152" s="155"/>
      <c r="T152" s="155"/>
      <c r="U152" s="155"/>
    </row>
    <row r="153" spans="11:21">
      <c r="K153" s="155"/>
      <c r="L153" s="155"/>
      <c r="M153" s="155"/>
      <c r="N153" s="155"/>
      <c r="O153" s="155"/>
      <c r="P153" s="155"/>
      <c r="Q153" s="155"/>
      <c r="R153" s="155"/>
      <c r="S153" s="155"/>
      <c r="T153" s="155"/>
      <c r="U153" s="155"/>
    </row>
    <row r="154" spans="11:21">
      <c r="K154" s="155"/>
      <c r="L154" s="155"/>
      <c r="M154" s="155"/>
      <c r="N154" s="155"/>
      <c r="O154" s="155"/>
      <c r="P154" s="155"/>
      <c r="Q154" s="155"/>
      <c r="R154" s="155"/>
      <c r="S154" s="155"/>
      <c r="T154" s="155"/>
      <c r="U154" s="155"/>
    </row>
    <row r="155" spans="11:21">
      <c r="K155" s="155"/>
      <c r="L155" s="155"/>
      <c r="M155" s="155"/>
      <c r="N155" s="155"/>
      <c r="O155" s="155"/>
      <c r="P155" s="155"/>
      <c r="Q155" s="155"/>
      <c r="R155" s="155"/>
      <c r="S155" s="155"/>
      <c r="T155" s="155"/>
      <c r="U155" s="155"/>
    </row>
    <row r="156" spans="11:21">
      <c r="K156" s="155"/>
      <c r="L156" s="155"/>
      <c r="M156" s="155"/>
      <c r="N156" s="155"/>
      <c r="O156" s="155"/>
      <c r="P156" s="155"/>
      <c r="Q156" s="155"/>
      <c r="R156" s="155"/>
      <c r="S156" s="155"/>
      <c r="T156" s="155"/>
      <c r="U156" s="155"/>
    </row>
    <row r="157" spans="11:21">
      <c r="K157" s="155"/>
      <c r="L157" s="155"/>
      <c r="M157" s="155"/>
      <c r="N157" s="155"/>
      <c r="O157" s="155"/>
      <c r="P157" s="155"/>
      <c r="Q157" s="155"/>
      <c r="R157" s="155"/>
      <c r="S157" s="155"/>
      <c r="T157" s="155"/>
      <c r="U157" s="155"/>
    </row>
    <row r="158" spans="11:21">
      <c r="K158" s="155"/>
      <c r="L158" s="155"/>
      <c r="M158" s="155"/>
      <c r="N158" s="155"/>
      <c r="O158" s="155"/>
      <c r="P158" s="155"/>
      <c r="Q158" s="155"/>
      <c r="R158" s="155"/>
      <c r="S158" s="155"/>
      <c r="T158" s="155"/>
      <c r="U158" s="155"/>
    </row>
    <row r="159" spans="11:21">
      <c r="K159" s="155"/>
      <c r="L159" s="155"/>
      <c r="M159" s="155"/>
      <c r="N159" s="155"/>
      <c r="O159" s="155"/>
      <c r="P159" s="155"/>
      <c r="Q159" s="155"/>
      <c r="R159" s="155"/>
      <c r="S159" s="155"/>
      <c r="T159" s="155"/>
      <c r="U159" s="155"/>
    </row>
    <row r="160" spans="11:21">
      <c r="K160" s="155"/>
      <c r="L160" s="155"/>
      <c r="M160" s="155"/>
      <c r="N160" s="155"/>
      <c r="O160" s="155"/>
      <c r="P160" s="155"/>
      <c r="Q160" s="155"/>
      <c r="R160" s="155"/>
      <c r="S160" s="155"/>
      <c r="T160" s="155"/>
      <c r="U160" s="155"/>
    </row>
    <row r="161" spans="11:21">
      <c r="K161" s="155"/>
      <c r="L161" s="155"/>
      <c r="M161" s="155"/>
      <c r="N161" s="155"/>
      <c r="O161" s="155"/>
      <c r="P161" s="155"/>
      <c r="Q161" s="155"/>
      <c r="R161" s="155"/>
      <c r="S161" s="155"/>
      <c r="T161" s="155"/>
      <c r="U161" s="155"/>
    </row>
    <row r="162" spans="11:21">
      <c r="K162" s="155"/>
      <c r="L162" s="155"/>
    </row>
    <row r="163" spans="11:21">
      <c r="K163" s="155"/>
      <c r="L163" s="155"/>
    </row>
    <row r="164" spans="11:21">
      <c r="K164" s="155"/>
      <c r="L164" s="155"/>
    </row>
    <row r="165" spans="11:21">
      <c r="K165" s="155"/>
      <c r="L165" s="155"/>
    </row>
  </sheetData>
  <mergeCells count="30">
    <mergeCell ref="B2:D2"/>
    <mergeCell ref="B11:D11"/>
    <mergeCell ref="F2:L2"/>
    <mergeCell ref="B26:D26"/>
    <mergeCell ref="F19:L19"/>
    <mergeCell ref="G3:J3"/>
    <mergeCell ref="B41:D41"/>
    <mergeCell ref="W59:W60"/>
    <mergeCell ref="S58:X58"/>
    <mergeCell ref="X59:X60"/>
    <mergeCell ref="J8:K8"/>
    <mergeCell ref="N30:Q30"/>
    <mergeCell ref="B34:D34"/>
    <mergeCell ref="AJ82:AL82"/>
    <mergeCell ref="AJ2:AL2"/>
    <mergeCell ref="S2:W2"/>
    <mergeCell ref="AJ25:AL25"/>
    <mergeCell ref="AN8:AP8"/>
    <mergeCell ref="AJ18:AL18"/>
    <mergeCell ref="Z2:AC2"/>
    <mergeCell ref="AD2:AF2"/>
    <mergeCell ref="S30:X30"/>
    <mergeCell ref="AJ8:AL8"/>
    <mergeCell ref="AN2:AP2"/>
    <mergeCell ref="N2:Q2"/>
    <mergeCell ref="BB2:BF2"/>
    <mergeCell ref="AJ53:AL53"/>
    <mergeCell ref="AJ66:AL66"/>
    <mergeCell ref="N59:R60"/>
    <mergeCell ref="AS2:AZ2"/>
  </mergeCells>
  <pageMargins left="0.7" right="0.7" top="0.75" bottom="0.75" header="0.3" footer="0.3"/>
  <pageSetup paperSize="5" scale="64" orientation="landscape" r:id="rId1"/>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7"/>
  <dimension ref="A1:H151"/>
  <sheetViews>
    <sheetView workbookViewId="0"/>
  </sheetViews>
  <sheetFormatPr defaultRowHeight="12.75"/>
  <cols>
    <col min="1" max="3" width="5.83203125" style="128" customWidth="1"/>
    <col min="4" max="4" width="12" style="109" customWidth="1"/>
    <col min="5" max="5" width="9.33203125" style="109"/>
    <col min="6" max="6" width="70.6640625" style="109" customWidth="1"/>
    <col min="7" max="8" width="15.83203125" style="128" customWidth="1"/>
    <col min="9" max="9" width="9.33203125" style="109"/>
    <col min="10" max="12" width="8.33203125" style="109" customWidth="1"/>
    <col min="13" max="16384" width="9.33203125" style="109"/>
  </cols>
  <sheetData>
    <row r="1" spans="1:8" ht="18">
      <c r="A1" s="227" t="s">
        <v>856</v>
      </c>
    </row>
    <row r="2" spans="1:8" ht="15">
      <c r="A2" s="228" t="s">
        <v>857</v>
      </c>
    </row>
    <row r="3" spans="1:8" ht="15">
      <c r="A3" s="228" t="s">
        <v>858</v>
      </c>
      <c r="G3" s="229"/>
      <c r="H3" s="229"/>
    </row>
    <row r="4" spans="1:8" ht="18">
      <c r="A4" s="227" t="s">
        <v>859</v>
      </c>
      <c r="H4" s="230"/>
    </row>
    <row r="6" spans="1:8" ht="13.5" thickBot="1">
      <c r="A6" s="268" t="s">
        <v>143</v>
      </c>
      <c r="B6" s="268" t="s">
        <v>860</v>
      </c>
      <c r="C6" s="268" t="s">
        <v>277</v>
      </c>
    </row>
    <row r="7" spans="1:8">
      <c r="A7" s="1493">
        <f>SUM(A11:A27)</f>
        <v>5</v>
      </c>
      <c r="B7" s="1493">
        <f>SUM(B11:B27)</f>
        <v>3</v>
      </c>
      <c r="C7" s="1493">
        <f>SUM(C11:C27)</f>
        <v>18</v>
      </c>
      <c r="D7" s="1504" t="s">
        <v>861</v>
      </c>
      <c r="E7" s="1505"/>
      <c r="F7" s="1506"/>
      <c r="G7" s="281" t="s">
        <v>862</v>
      </c>
      <c r="H7" s="244" t="s">
        <v>863</v>
      </c>
    </row>
    <row r="8" spans="1:8" ht="13.5" thickBot="1">
      <c r="A8" s="1503"/>
      <c r="B8" s="1494"/>
      <c r="C8" s="1494"/>
      <c r="D8" s="1507"/>
      <c r="E8" s="1508"/>
      <c r="F8" s="1509"/>
      <c r="G8" s="282" t="s">
        <v>864</v>
      </c>
      <c r="H8" s="264" t="s">
        <v>865</v>
      </c>
    </row>
    <row r="9" spans="1:8">
      <c r="A9" s="244" t="s">
        <v>866</v>
      </c>
      <c r="D9" s="109" t="s">
        <v>867</v>
      </c>
      <c r="E9" s="231" t="s">
        <v>868</v>
      </c>
      <c r="G9" s="280" t="s">
        <v>869</v>
      </c>
      <c r="H9" s="237" t="s">
        <v>870</v>
      </c>
    </row>
    <row r="10" spans="1:8" ht="13.5" thickBot="1">
      <c r="A10" s="264" t="s">
        <v>866</v>
      </c>
      <c r="D10" s="109" t="s">
        <v>871</v>
      </c>
      <c r="E10" s="231" t="s">
        <v>872</v>
      </c>
      <c r="G10" s="232" t="s">
        <v>873</v>
      </c>
      <c r="H10" s="238" t="s">
        <v>873</v>
      </c>
    </row>
    <row r="11" spans="1:8">
      <c r="A11" s="246"/>
      <c r="B11" s="247"/>
      <c r="C11" s="271">
        <v>1</v>
      </c>
      <c r="D11" s="109" t="s">
        <v>874</v>
      </c>
      <c r="E11" s="231" t="s">
        <v>875</v>
      </c>
      <c r="G11" s="232">
        <v>1</v>
      </c>
      <c r="H11" s="238">
        <v>1</v>
      </c>
    </row>
    <row r="12" spans="1:8">
      <c r="A12" s="249"/>
      <c r="B12" s="250"/>
      <c r="C12" s="251">
        <v>5</v>
      </c>
      <c r="D12" s="109" t="s">
        <v>876</v>
      </c>
      <c r="E12" s="231" t="s">
        <v>877</v>
      </c>
      <c r="G12" s="232">
        <v>1</v>
      </c>
      <c r="H12" s="238">
        <v>5</v>
      </c>
    </row>
    <row r="13" spans="1:8">
      <c r="A13" s="249"/>
      <c r="B13" s="250"/>
      <c r="C13" s="251">
        <v>1</v>
      </c>
      <c r="D13" s="109" t="s">
        <v>878</v>
      </c>
      <c r="E13" s="231" t="s">
        <v>879</v>
      </c>
      <c r="G13" s="232">
        <v>1</v>
      </c>
      <c r="H13" s="238">
        <v>1</v>
      </c>
    </row>
    <row r="14" spans="1:8">
      <c r="A14" s="249"/>
      <c r="B14" s="250"/>
      <c r="C14" s="270">
        <v>6</v>
      </c>
      <c r="D14" s="109" t="s">
        <v>880</v>
      </c>
      <c r="E14" s="231" t="s">
        <v>881</v>
      </c>
      <c r="G14" s="232">
        <v>1</v>
      </c>
      <c r="H14" s="238">
        <v>6</v>
      </c>
    </row>
    <row r="15" spans="1:8">
      <c r="A15" s="249"/>
      <c r="B15" s="250">
        <v>1</v>
      </c>
      <c r="C15" s="251"/>
      <c r="D15" s="109" t="s">
        <v>882</v>
      </c>
      <c r="E15" s="231" t="s">
        <v>883</v>
      </c>
      <c r="G15" s="232">
        <v>1</v>
      </c>
      <c r="H15" s="238">
        <v>1</v>
      </c>
    </row>
    <row r="16" spans="1:8">
      <c r="A16" s="249"/>
      <c r="B16" s="250"/>
      <c r="C16" s="251">
        <v>3</v>
      </c>
      <c r="D16" s="109" t="s">
        <v>884</v>
      </c>
      <c r="E16" s="231" t="s">
        <v>885</v>
      </c>
      <c r="G16" s="232">
        <v>1</v>
      </c>
      <c r="H16" s="238">
        <v>3</v>
      </c>
    </row>
    <row r="17" spans="1:8">
      <c r="A17" s="249"/>
      <c r="B17" s="250"/>
      <c r="C17" s="270">
        <v>2</v>
      </c>
      <c r="D17" s="109" t="s">
        <v>886</v>
      </c>
      <c r="E17" s="231" t="s">
        <v>887</v>
      </c>
      <c r="G17" s="232">
        <v>1</v>
      </c>
      <c r="H17" s="238">
        <v>2</v>
      </c>
    </row>
    <row r="18" spans="1:8">
      <c r="A18" s="249">
        <v>1</v>
      </c>
      <c r="B18" s="250"/>
      <c r="C18" s="251"/>
      <c r="D18" s="109" t="s">
        <v>888</v>
      </c>
      <c r="E18" s="231" t="s">
        <v>889</v>
      </c>
      <c r="G18" s="232">
        <v>1</v>
      </c>
      <c r="H18" s="238">
        <v>1</v>
      </c>
    </row>
    <row r="19" spans="1:8">
      <c r="A19" s="249">
        <v>1</v>
      </c>
      <c r="B19" s="250"/>
      <c r="C19" s="251"/>
      <c r="D19" s="109" t="s">
        <v>890</v>
      </c>
      <c r="E19" s="231" t="s">
        <v>891</v>
      </c>
      <c r="G19" s="232">
        <v>1</v>
      </c>
      <c r="H19" s="238">
        <v>1</v>
      </c>
    </row>
    <row r="20" spans="1:8">
      <c r="A20" s="249">
        <v>1</v>
      </c>
      <c r="B20" s="250"/>
      <c r="C20" s="251"/>
      <c r="D20" s="109" t="s">
        <v>892</v>
      </c>
      <c r="E20" s="231" t="s">
        <v>893</v>
      </c>
      <c r="G20" s="232">
        <v>1</v>
      </c>
      <c r="H20" s="238">
        <v>1</v>
      </c>
    </row>
    <row r="21" spans="1:8">
      <c r="A21" s="249">
        <v>1</v>
      </c>
      <c r="B21" s="250"/>
      <c r="C21" s="251"/>
      <c r="D21" s="109" t="s">
        <v>894</v>
      </c>
      <c r="E21" s="231" t="s">
        <v>895</v>
      </c>
      <c r="G21" s="232">
        <v>1</v>
      </c>
      <c r="H21" s="238">
        <v>1</v>
      </c>
    </row>
    <row r="22" spans="1:8">
      <c r="A22" s="249">
        <v>1</v>
      </c>
      <c r="B22" s="250"/>
      <c r="C22" s="251"/>
      <c r="D22" s="109" t="s">
        <v>896</v>
      </c>
      <c r="E22" s="231" t="s">
        <v>897</v>
      </c>
      <c r="G22" s="232">
        <v>1</v>
      </c>
      <c r="H22" s="238">
        <v>1</v>
      </c>
    </row>
    <row r="23" spans="1:8">
      <c r="A23" s="249"/>
      <c r="B23" s="250">
        <v>1</v>
      </c>
      <c r="C23" s="251"/>
      <c r="D23" s="109" t="s">
        <v>898</v>
      </c>
      <c r="E23" s="231" t="s">
        <v>899</v>
      </c>
      <c r="G23" s="232">
        <v>1</v>
      </c>
      <c r="H23" s="238">
        <v>1</v>
      </c>
    </row>
    <row r="24" spans="1:8">
      <c r="A24" s="249"/>
      <c r="B24" s="250">
        <v>1</v>
      </c>
      <c r="C24" s="251"/>
      <c r="D24" s="109" t="s">
        <v>900</v>
      </c>
      <c r="E24" s="231" t="s">
        <v>901</v>
      </c>
      <c r="G24" s="232">
        <v>1</v>
      </c>
      <c r="H24" s="238">
        <v>1</v>
      </c>
    </row>
    <row r="25" spans="1:8">
      <c r="A25" s="249"/>
      <c r="B25" s="250"/>
      <c r="C25" s="251"/>
      <c r="D25" s="109" t="s">
        <v>902</v>
      </c>
      <c r="E25" s="231" t="s">
        <v>903</v>
      </c>
      <c r="G25" s="232" t="s">
        <v>873</v>
      </c>
      <c r="H25" s="238" t="s">
        <v>873</v>
      </c>
    </row>
    <row r="26" spans="1:8">
      <c r="A26" s="249"/>
      <c r="B26" s="250"/>
      <c r="C26" s="251"/>
      <c r="D26" s="109" t="s">
        <v>902</v>
      </c>
      <c r="E26" s="231" t="s">
        <v>904</v>
      </c>
      <c r="G26" s="232" t="s">
        <v>873</v>
      </c>
      <c r="H26" s="238" t="s">
        <v>873</v>
      </c>
    </row>
    <row r="27" spans="1:8" ht="13.5" thickBot="1">
      <c r="A27" s="252"/>
      <c r="B27" s="253"/>
      <c r="C27" s="254"/>
      <c r="D27" s="109" t="s">
        <v>905</v>
      </c>
      <c r="E27" s="231" t="s">
        <v>906</v>
      </c>
      <c r="G27" s="232" t="s">
        <v>873</v>
      </c>
      <c r="H27" s="239" t="s">
        <v>873</v>
      </c>
    </row>
    <row r="28" spans="1:8" ht="13.5" thickBot="1">
      <c r="A28" s="268" t="s">
        <v>143</v>
      </c>
      <c r="B28" s="268" t="s">
        <v>860</v>
      </c>
      <c r="C28" s="268" t="s">
        <v>277</v>
      </c>
    </row>
    <row r="29" spans="1:8" ht="13.5" customHeight="1">
      <c r="A29" s="1493">
        <f>SUM(A32:A38)</f>
        <v>5</v>
      </c>
      <c r="B29" s="1493">
        <f>SUM(B32:B38)</f>
        <v>5</v>
      </c>
      <c r="C29" s="1493">
        <f>SUM(C32:C38)</f>
        <v>0</v>
      </c>
      <c r="D29" s="1510" t="s">
        <v>907</v>
      </c>
      <c r="E29" s="1511"/>
      <c r="F29" s="1512"/>
      <c r="G29" s="283" t="s">
        <v>862</v>
      </c>
      <c r="H29" s="243" t="s">
        <v>863</v>
      </c>
    </row>
    <row r="30" spans="1:8" ht="13.5" customHeight="1" thickBot="1">
      <c r="A30" s="1494"/>
      <c r="B30" s="1494"/>
      <c r="C30" s="1494"/>
      <c r="D30" s="1513"/>
      <c r="E30" s="1514"/>
      <c r="F30" s="1515"/>
      <c r="G30" s="284" t="s">
        <v>908</v>
      </c>
      <c r="H30" s="285" t="s">
        <v>909</v>
      </c>
    </row>
    <row r="31" spans="1:8" ht="13.5" thickBot="1">
      <c r="A31" s="265" t="s">
        <v>866</v>
      </c>
      <c r="D31" s="109" t="s">
        <v>867</v>
      </c>
      <c r="E31" s="231" t="s">
        <v>910</v>
      </c>
      <c r="G31" s="280">
        <v>1</v>
      </c>
      <c r="H31" s="237" t="s">
        <v>870</v>
      </c>
    </row>
    <row r="32" spans="1:8">
      <c r="A32" s="255">
        <v>2</v>
      </c>
      <c r="B32" s="247"/>
      <c r="C32" s="248"/>
      <c r="D32" s="109" t="s">
        <v>911</v>
      </c>
      <c r="E32" s="231" t="s">
        <v>912</v>
      </c>
      <c r="G32" s="232">
        <v>1</v>
      </c>
      <c r="H32" s="238">
        <v>2</v>
      </c>
    </row>
    <row r="33" spans="1:8">
      <c r="A33" s="273">
        <v>2</v>
      </c>
      <c r="B33" s="250"/>
      <c r="C33" s="251"/>
      <c r="D33" s="109" t="s">
        <v>913</v>
      </c>
      <c r="E33" s="231" t="s">
        <v>914</v>
      </c>
      <c r="G33" s="232">
        <v>1</v>
      </c>
      <c r="H33" s="238">
        <v>2</v>
      </c>
    </row>
    <row r="34" spans="1:8">
      <c r="A34" s="273">
        <v>1</v>
      </c>
      <c r="B34" s="250">
        <v>1</v>
      </c>
      <c r="C34" s="251"/>
      <c r="D34" s="109" t="s">
        <v>876</v>
      </c>
      <c r="E34" s="231" t="s">
        <v>915</v>
      </c>
      <c r="G34" s="232">
        <v>1</v>
      </c>
      <c r="H34" s="238">
        <v>2</v>
      </c>
    </row>
    <row r="35" spans="1:8">
      <c r="A35" s="249"/>
      <c r="B35" s="250">
        <v>2</v>
      </c>
      <c r="C35" s="251"/>
      <c r="D35" s="109" t="s">
        <v>916</v>
      </c>
      <c r="E35" s="231" t="s">
        <v>917</v>
      </c>
      <c r="G35" s="232">
        <v>1</v>
      </c>
      <c r="H35" s="238">
        <v>2</v>
      </c>
    </row>
    <row r="36" spans="1:8">
      <c r="A36" s="249"/>
      <c r="B36" s="250">
        <v>1</v>
      </c>
      <c r="C36" s="251"/>
      <c r="D36" s="109" t="s">
        <v>918</v>
      </c>
      <c r="E36" s="231" t="s">
        <v>919</v>
      </c>
      <c r="G36" s="232" t="s">
        <v>873</v>
      </c>
      <c r="H36" s="238">
        <v>1</v>
      </c>
    </row>
    <row r="37" spans="1:8">
      <c r="A37" s="249"/>
      <c r="B37" s="274">
        <v>1</v>
      </c>
      <c r="C37" s="251"/>
      <c r="D37" s="109" t="s">
        <v>920</v>
      </c>
      <c r="E37" s="231" t="s">
        <v>921</v>
      </c>
      <c r="G37" s="232" t="s">
        <v>922</v>
      </c>
      <c r="H37" s="238">
        <v>1</v>
      </c>
    </row>
    <row r="38" spans="1:8" ht="13.5" thickBot="1">
      <c r="A38" s="252"/>
      <c r="B38" s="253"/>
      <c r="C38" s="254"/>
      <c r="D38" s="109" t="s">
        <v>923</v>
      </c>
      <c r="E38" s="231" t="s">
        <v>924</v>
      </c>
      <c r="G38" s="232" t="s">
        <v>873</v>
      </c>
      <c r="H38" s="239" t="s">
        <v>873</v>
      </c>
    </row>
    <row r="39" spans="1:8" ht="13.5" thickBot="1">
      <c r="A39" s="268" t="s">
        <v>143</v>
      </c>
      <c r="B39" s="268" t="s">
        <v>860</v>
      </c>
      <c r="C39" s="268" t="s">
        <v>277</v>
      </c>
    </row>
    <row r="40" spans="1:8">
      <c r="A40" s="1493">
        <f>SUM(A45+A65+A73+A74+A75+A76+A77+A78)</f>
        <v>0</v>
      </c>
      <c r="B40" s="1493">
        <f>SUM(B45+B65+B73+B74+B75+B76+B77+B78)</f>
        <v>35</v>
      </c>
      <c r="C40" s="1493">
        <f>SUM(C45+C65+C73+C74+C75+C76+C77+C78)</f>
        <v>0</v>
      </c>
      <c r="D40" s="1495" t="s">
        <v>925</v>
      </c>
      <c r="E40" s="1496"/>
      <c r="F40" s="1497"/>
      <c r="G40" s="281" t="s">
        <v>862</v>
      </c>
      <c r="H40" s="244" t="s">
        <v>863</v>
      </c>
    </row>
    <row r="41" spans="1:8" ht="13.5" thickBot="1">
      <c r="A41" s="1494"/>
      <c r="B41" s="1494"/>
      <c r="C41" s="1494"/>
      <c r="D41" s="1498"/>
      <c r="E41" s="1499"/>
      <c r="F41" s="1500"/>
      <c r="G41" s="282" t="s">
        <v>926</v>
      </c>
      <c r="H41" s="264" t="s">
        <v>927</v>
      </c>
    </row>
    <row r="42" spans="1:8">
      <c r="A42" s="244" t="s">
        <v>866</v>
      </c>
      <c r="D42" s="109" t="s">
        <v>867</v>
      </c>
      <c r="E42" s="231" t="s">
        <v>928</v>
      </c>
      <c r="G42" s="235" t="s">
        <v>869</v>
      </c>
      <c r="H42" s="237" t="s">
        <v>870</v>
      </c>
    </row>
    <row r="43" spans="1:8">
      <c r="A43" s="245" t="s">
        <v>866</v>
      </c>
      <c r="D43" s="109" t="s">
        <v>871</v>
      </c>
      <c r="E43" s="231" t="s">
        <v>929</v>
      </c>
      <c r="G43" s="233" t="s">
        <v>869</v>
      </c>
      <c r="H43" s="238" t="s">
        <v>870</v>
      </c>
    </row>
    <row r="44" spans="1:8" ht="13.5" thickBot="1">
      <c r="A44" s="264" t="s">
        <v>866</v>
      </c>
      <c r="D44" s="109" t="s">
        <v>930</v>
      </c>
      <c r="E44" s="231" t="s">
        <v>931</v>
      </c>
      <c r="G44" s="233" t="s">
        <v>869</v>
      </c>
      <c r="H44" s="238" t="s">
        <v>870</v>
      </c>
    </row>
    <row r="45" spans="1:8" ht="13.5" thickBot="1">
      <c r="A45" s="256"/>
      <c r="B45" s="257">
        <f>SUM(E46:E64)</f>
        <v>19</v>
      </c>
      <c r="C45" s="258"/>
      <c r="D45" s="109" t="s">
        <v>874</v>
      </c>
      <c r="E45" s="231" t="s">
        <v>932</v>
      </c>
      <c r="G45" s="234" t="s">
        <v>933</v>
      </c>
      <c r="H45" s="238" t="s">
        <v>934</v>
      </c>
    </row>
    <row r="46" spans="1:8">
      <c r="E46" s="259">
        <v>1</v>
      </c>
      <c r="F46" s="109" t="s">
        <v>935</v>
      </c>
      <c r="G46" s="233">
        <v>1</v>
      </c>
      <c r="H46" s="238">
        <v>1</v>
      </c>
    </row>
    <row r="47" spans="1:8">
      <c r="E47" s="260">
        <v>1</v>
      </c>
      <c r="F47" s="109" t="s">
        <v>936</v>
      </c>
      <c r="G47" s="233">
        <v>1</v>
      </c>
      <c r="H47" s="238">
        <v>1</v>
      </c>
    </row>
    <row r="48" spans="1:8">
      <c r="E48" s="260">
        <v>1</v>
      </c>
      <c r="F48" s="109" t="s">
        <v>937</v>
      </c>
      <c r="G48" s="233" t="s">
        <v>873</v>
      </c>
      <c r="H48" s="238">
        <v>1</v>
      </c>
    </row>
    <row r="49" spans="5:8">
      <c r="E49" s="260">
        <v>1</v>
      </c>
      <c r="F49" s="109" t="s">
        <v>938</v>
      </c>
      <c r="G49" s="233">
        <v>1</v>
      </c>
      <c r="H49" s="238">
        <v>1</v>
      </c>
    </row>
    <row r="50" spans="5:8">
      <c r="E50" s="260">
        <v>1</v>
      </c>
      <c r="F50" s="109" t="s">
        <v>939</v>
      </c>
      <c r="G50" s="233" t="s">
        <v>873</v>
      </c>
      <c r="H50" s="238">
        <v>1</v>
      </c>
    </row>
    <row r="51" spans="5:8">
      <c r="E51" s="275">
        <v>1</v>
      </c>
      <c r="F51" s="109" t="s">
        <v>940</v>
      </c>
      <c r="G51" s="233">
        <v>1</v>
      </c>
      <c r="H51" s="238">
        <v>1</v>
      </c>
    </row>
    <row r="52" spans="5:8">
      <c r="E52" s="275">
        <v>1</v>
      </c>
      <c r="F52" s="109" t="s">
        <v>941</v>
      </c>
      <c r="G52" s="233">
        <v>1</v>
      </c>
      <c r="H52" s="238">
        <v>1</v>
      </c>
    </row>
    <row r="53" spans="5:8">
      <c r="E53" s="275">
        <v>1</v>
      </c>
      <c r="F53" s="109" t="s">
        <v>942</v>
      </c>
      <c r="G53" s="233" t="s">
        <v>873</v>
      </c>
      <c r="H53" s="238">
        <v>1</v>
      </c>
    </row>
    <row r="54" spans="5:8">
      <c r="E54" s="275">
        <v>1</v>
      </c>
      <c r="F54" s="109" t="s">
        <v>943</v>
      </c>
      <c r="G54" s="233">
        <v>1</v>
      </c>
      <c r="H54" s="238">
        <v>1</v>
      </c>
    </row>
    <row r="55" spans="5:8">
      <c r="E55" s="275">
        <v>1</v>
      </c>
      <c r="F55" s="109" t="s">
        <v>944</v>
      </c>
      <c r="G55" s="233" t="s">
        <v>873</v>
      </c>
      <c r="H55" s="238">
        <v>1</v>
      </c>
    </row>
    <row r="56" spans="5:8">
      <c r="E56" s="275">
        <v>1</v>
      </c>
      <c r="F56" s="109" t="s">
        <v>945</v>
      </c>
      <c r="G56" s="233">
        <v>1</v>
      </c>
      <c r="H56" s="238">
        <v>1</v>
      </c>
    </row>
    <row r="57" spans="5:8">
      <c r="E57" s="275">
        <v>1</v>
      </c>
      <c r="F57" s="109" t="s">
        <v>946</v>
      </c>
      <c r="G57" s="233" t="s">
        <v>873</v>
      </c>
      <c r="H57" s="238">
        <v>1</v>
      </c>
    </row>
    <row r="58" spans="5:8">
      <c r="E58" s="275">
        <v>1</v>
      </c>
      <c r="F58" s="109" t="s">
        <v>947</v>
      </c>
      <c r="G58" s="233">
        <v>1</v>
      </c>
      <c r="H58" s="238">
        <v>1</v>
      </c>
    </row>
    <row r="59" spans="5:8">
      <c r="E59" s="275">
        <v>1</v>
      </c>
      <c r="F59" s="109" t="s">
        <v>948</v>
      </c>
      <c r="G59" s="233">
        <v>1</v>
      </c>
      <c r="H59" s="238">
        <v>1</v>
      </c>
    </row>
    <row r="60" spans="5:8">
      <c r="E60" s="275">
        <v>1</v>
      </c>
      <c r="F60" s="109" t="s">
        <v>949</v>
      </c>
      <c r="G60" s="233" t="s">
        <v>873</v>
      </c>
      <c r="H60" s="238">
        <v>1</v>
      </c>
    </row>
    <row r="61" spans="5:8">
      <c r="E61" s="275">
        <v>1</v>
      </c>
      <c r="F61" s="109" t="s">
        <v>950</v>
      </c>
      <c r="G61" s="233">
        <v>1</v>
      </c>
      <c r="H61" s="238">
        <v>1</v>
      </c>
    </row>
    <row r="62" spans="5:8">
      <c r="E62" s="275">
        <v>1</v>
      </c>
      <c r="F62" s="109" t="s">
        <v>951</v>
      </c>
      <c r="G62" s="233" t="s">
        <v>873</v>
      </c>
      <c r="H62" s="238">
        <v>1</v>
      </c>
    </row>
    <row r="63" spans="5:8">
      <c r="E63" s="275">
        <v>1</v>
      </c>
      <c r="F63" s="109" t="s">
        <v>952</v>
      </c>
      <c r="G63" s="233" t="s">
        <v>873</v>
      </c>
      <c r="H63" s="238">
        <v>1</v>
      </c>
    </row>
    <row r="64" spans="5:8" ht="13.5" thickBot="1">
      <c r="E64" s="276">
        <v>1</v>
      </c>
      <c r="F64" s="109" t="s">
        <v>953</v>
      </c>
      <c r="G64" s="233" t="s">
        <v>873</v>
      </c>
      <c r="H64" s="238">
        <v>1</v>
      </c>
    </row>
    <row r="65" spans="1:8" ht="13.5" thickBot="1">
      <c r="A65" s="256"/>
      <c r="B65" s="257">
        <f>SUM(E66:E72)</f>
        <v>7</v>
      </c>
      <c r="C65" s="258"/>
      <c r="D65" s="109" t="s">
        <v>876</v>
      </c>
      <c r="E65" s="231" t="s">
        <v>954</v>
      </c>
      <c r="G65" s="233" t="s">
        <v>955</v>
      </c>
      <c r="H65" s="238" t="s">
        <v>956</v>
      </c>
    </row>
    <row r="66" spans="1:8">
      <c r="E66" s="259">
        <v>1</v>
      </c>
      <c r="F66" s="109" t="s">
        <v>957</v>
      </c>
      <c r="G66" s="233" t="s">
        <v>873</v>
      </c>
      <c r="H66" s="238">
        <v>1</v>
      </c>
    </row>
    <row r="67" spans="1:8">
      <c r="E67" s="260">
        <v>1</v>
      </c>
      <c r="F67" s="109" t="s">
        <v>958</v>
      </c>
      <c r="G67" s="233" t="s">
        <v>959</v>
      </c>
      <c r="H67" s="238">
        <v>1</v>
      </c>
    </row>
    <row r="68" spans="1:8">
      <c r="E68" s="260">
        <v>1</v>
      </c>
      <c r="F68" s="109" t="s">
        <v>960</v>
      </c>
      <c r="G68" s="233" t="s">
        <v>873</v>
      </c>
      <c r="H68" s="238">
        <v>1</v>
      </c>
    </row>
    <row r="69" spans="1:8">
      <c r="E69" s="275">
        <v>1</v>
      </c>
      <c r="F69" s="109" t="s">
        <v>961</v>
      </c>
      <c r="G69" s="233" t="s">
        <v>962</v>
      </c>
      <c r="H69" s="238">
        <v>1</v>
      </c>
    </row>
    <row r="70" spans="1:8">
      <c r="E70" s="275">
        <v>1</v>
      </c>
      <c r="F70" s="109" t="s">
        <v>963</v>
      </c>
      <c r="G70" s="233" t="s">
        <v>873</v>
      </c>
      <c r="H70" s="238">
        <v>1</v>
      </c>
    </row>
    <row r="71" spans="1:8">
      <c r="E71" s="275">
        <v>1</v>
      </c>
      <c r="F71" s="109" t="s">
        <v>964</v>
      </c>
      <c r="G71" s="233" t="s">
        <v>873</v>
      </c>
      <c r="H71" s="238">
        <v>1</v>
      </c>
    </row>
    <row r="72" spans="1:8" ht="13.5" thickBot="1">
      <c r="E72" s="276">
        <v>1</v>
      </c>
      <c r="F72" s="109" t="s">
        <v>965</v>
      </c>
      <c r="G72" s="233" t="s">
        <v>966</v>
      </c>
      <c r="H72" s="238">
        <v>1</v>
      </c>
    </row>
    <row r="73" spans="1:8">
      <c r="A73" s="255"/>
      <c r="B73" s="247">
        <v>2</v>
      </c>
      <c r="C73" s="248"/>
      <c r="D73" s="109" t="s">
        <v>878</v>
      </c>
      <c r="E73" s="231" t="s">
        <v>967</v>
      </c>
      <c r="G73" s="233">
        <v>1</v>
      </c>
      <c r="H73" s="238">
        <v>2</v>
      </c>
    </row>
    <row r="74" spans="1:8">
      <c r="A74" s="249"/>
      <c r="B74" s="250">
        <v>2</v>
      </c>
      <c r="C74" s="251"/>
      <c r="D74" s="109" t="s">
        <v>968</v>
      </c>
      <c r="E74" s="231" t="s">
        <v>969</v>
      </c>
      <c r="G74" s="233">
        <v>1</v>
      </c>
      <c r="H74" s="238">
        <v>2</v>
      </c>
    </row>
    <row r="75" spans="1:8">
      <c r="A75" s="249"/>
      <c r="B75" s="250">
        <v>3</v>
      </c>
      <c r="C75" s="251"/>
      <c r="D75" s="109" t="s">
        <v>970</v>
      </c>
      <c r="E75" s="231" t="s">
        <v>971</v>
      </c>
      <c r="G75" s="233">
        <v>1</v>
      </c>
      <c r="H75" s="238">
        <v>3</v>
      </c>
    </row>
    <row r="76" spans="1:8">
      <c r="A76" s="249"/>
      <c r="B76" s="250"/>
      <c r="C76" s="251"/>
      <c r="D76" s="109" t="s">
        <v>888</v>
      </c>
      <c r="E76" s="231" t="s">
        <v>972</v>
      </c>
      <c r="G76" s="233" t="s">
        <v>873</v>
      </c>
      <c r="H76" s="238" t="s">
        <v>873</v>
      </c>
    </row>
    <row r="77" spans="1:8">
      <c r="A77" s="249"/>
      <c r="B77" s="250"/>
      <c r="C77" s="251"/>
      <c r="D77" s="109" t="s">
        <v>973</v>
      </c>
      <c r="E77" s="231" t="s">
        <v>974</v>
      </c>
      <c r="G77" s="233" t="s">
        <v>873</v>
      </c>
      <c r="H77" s="238" t="s">
        <v>873</v>
      </c>
    </row>
    <row r="78" spans="1:8" ht="13.5" thickBot="1">
      <c r="A78" s="252"/>
      <c r="B78" s="277">
        <v>2</v>
      </c>
      <c r="C78" s="254"/>
      <c r="D78" s="109" t="s">
        <v>975</v>
      </c>
      <c r="E78" s="231" t="s">
        <v>976</v>
      </c>
      <c r="G78" s="233">
        <v>1</v>
      </c>
      <c r="H78" s="239">
        <v>2</v>
      </c>
    </row>
    <row r="80" spans="1:8" ht="13.5" thickBot="1">
      <c r="A80" s="268" t="s">
        <v>143</v>
      </c>
      <c r="B80" s="268" t="s">
        <v>860</v>
      </c>
      <c r="C80" s="268" t="s">
        <v>277</v>
      </c>
    </row>
    <row r="81" spans="1:8">
      <c r="A81" s="1493">
        <f>SUM(A84+A90+A91+A92+A93+A94+A95+A96+A97+A98+A99+A101)</f>
        <v>0</v>
      </c>
      <c r="B81" s="1493">
        <f>SUM(B84+B90+B91+B92+B93+B94+B95+B96+B97+B98+B99+B101)</f>
        <v>14</v>
      </c>
      <c r="C81" s="1493">
        <f>SUM(C84+C90+C91+C92+C93+C94+C95+C96+C97+C98+C99+C101)</f>
        <v>0</v>
      </c>
      <c r="D81" s="1495" t="s">
        <v>977</v>
      </c>
      <c r="E81" s="1496"/>
      <c r="F81" s="1497"/>
      <c r="G81" s="281" t="s">
        <v>862</v>
      </c>
      <c r="H81" s="244" t="s">
        <v>863</v>
      </c>
    </row>
    <row r="82" spans="1:8" ht="13.5" thickBot="1">
      <c r="A82" s="1494"/>
      <c r="B82" s="1494"/>
      <c r="C82" s="1494"/>
      <c r="D82" s="1498"/>
      <c r="E82" s="1499"/>
      <c r="F82" s="1500"/>
      <c r="G82" s="282" t="s">
        <v>978</v>
      </c>
      <c r="H82" s="264" t="s">
        <v>864</v>
      </c>
    </row>
    <row r="83" spans="1:8" ht="13.5" thickBot="1">
      <c r="A83" s="265" t="s">
        <v>866</v>
      </c>
      <c r="D83" s="109" t="s">
        <v>867</v>
      </c>
      <c r="E83" s="231" t="s">
        <v>979</v>
      </c>
      <c r="G83" s="235" t="s">
        <v>870</v>
      </c>
      <c r="H83" s="237" t="s">
        <v>870</v>
      </c>
    </row>
    <row r="84" spans="1:8" ht="13.5" thickBot="1">
      <c r="A84" s="256"/>
      <c r="B84" s="257">
        <f>SUM(E85:E89)</f>
        <v>3</v>
      </c>
      <c r="C84" s="258"/>
      <c r="D84" s="109" t="s">
        <v>980</v>
      </c>
      <c r="E84" s="231" t="s">
        <v>981</v>
      </c>
      <c r="G84" s="233" t="s">
        <v>982</v>
      </c>
      <c r="H84" s="238" t="s">
        <v>955</v>
      </c>
    </row>
    <row r="85" spans="1:8">
      <c r="E85" s="261">
        <v>1</v>
      </c>
      <c r="F85" s="231" t="s">
        <v>983</v>
      </c>
      <c r="G85" s="233" t="s">
        <v>984</v>
      </c>
      <c r="H85" s="238" t="s">
        <v>985</v>
      </c>
    </row>
    <row r="86" spans="1:8">
      <c r="E86" s="262">
        <v>1</v>
      </c>
      <c r="F86" s="231" t="s">
        <v>983</v>
      </c>
      <c r="G86" s="233" t="s">
        <v>986</v>
      </c>
      <c r="H86" s="238" t="s">
        <v>984</v>
      </c>
    </row>
    <row r="87" spans="1:8">
      <c r="E87" s="262">
        <v>1</v>
      </c>
      <c r="F87" s="231" t="s">
        <v>983</v>
      </c>
      <c r="G87" s="233" t="s">
        <v>873</v>
      </c>
      <c r="H87" s="238" t="s">
        <v>986</v>
      </c>
    </row>
    <row r="88" spans="1:8">
      <c r="E88" s="262"/>
      <c r="F88" s="231" t="s">
        <v>983</v>
      </c>
      <c r="G88" s="233" t="s">
        <v>873</v>
      </c>
      <c r="H88" s="238" t="s">
        <v>873</v>
      </c>
    </row>
    <row r="89" spans="1:8" ht="13.5" thickBot="1">
      <c r="E89" s="263"/>
      <c r="F89" s="231" t="s">
        <v>983</v>
      </c>
      <c r="G89" s="233" t="s">
        <v>873</v>
      </c>
      <c r="H89" s="238" t="s">
        <v>873</v>
      </c>
    </row>
    <row r="90" spans="1:8">
      <c r="A90" s="255"/>
      <c r="B90" s="247">
        <v>1</v>
      </c>
      <c r="C90" s="248"/>
      <c r="D90" s="109" t="s">
        <v>987</v>
      </c>
      <c r="E90" s="231" t="s">
        <v>988</v>
      </c>
      <c r="G90" s="233">
        <v>1</v>
      </c>
      <c r="H90" s="238">
        <v>1</v>
      </c>
    </row>
    <row r="91" spans="1:8">
      <c r="A91" s="249"/>
      <c r="B91" s="250">
        <v>1</v>
      </c>
      <c r="C91" s="251"/>
      <c r="D91" s="109" t="s">
        <v>989</v>
      </c>
      <c r="E91" s="231" t="s">
        <v>990</v>
      </c>
      <c r="G91" s="233">
        <v>1</v>
      </c>
      <c r="H91" s="238">
        <v>1</v>
      </c>
    </row>
    <row r="92" spans="1:8">
      <c r="A92" s="249"/>
      <c r="B92" s="250">
        <v>1</v>
      </c>
      <c r="C92" s="251"/>
      <c r="D92" s="109" t="s">
        <v>991</v>
      </c>
      <c r="E92" s="231" t="s">
        <v>992</v>
      </c>
      <c r="G92" s="233">
        <v>1</v>
      </c>
      <c r="H92" s="238">
        <v>1</v>
      </c>
    </row>
    <row r="93" spans="1:8">
      <c r="A93" s="249"/>
      <c r="B93" s="250">
        <v>1</v>
      </c>
      <c r="C93" s="251"/>
      <c r="D93" s="109" t="s">
        <v>993</v>
      </c>
      <c r="E93" s="231" t="s">
        <v>994</v>
      </c>
      <c r="G93" s="233">
        <v>1</v>
      </c>
      <c r="H93" s="238">
        <v>1</v>
      </c>
    </row>
    <row r="94" spans="1:8">
      <c r="A94" s="249"/>
      <c r="B94" s="250">
        <v>1</v>
      </c>
      <c r="C94" s="251"/>
      <c r="D94" s="109" t="s">
        <v>995</v>
      </c>
      <c r="E94" s="231" t="s">
        <v>996</v>
      </c>
      <c r="G94" s="233">
        <v>1</v>
      </c>
      <c r="H94" s="238">
        <v>1</v>
      </c>
    </row>
    <row r="95" spans="1:8">
      <c r="A95" s="249"/>
      <c r="B95" s="250">
        <v>1</v>
      </c>
      <c r="C95" s="251"/>
      <c r="D95" s="109" t="s">
        <v>880</v>
      </c>
      <c r="E95" s="231" t="s">
        <v>997</v>
      </c>
      <c r="G95" s="233">
        <v>1</v>
      </c>
      <c r="H95" s="238">
        <v>1</v>
      </c>
    </row>
    <row r="96" spans="1:8">
      <c r="A96" s="249"/>
      <c r="B96" s="250">
        <v>1</v>
      </c>
      <c r="C96" s="251"/>
      <c r="D96" s="109" t="s">
        <v>882</v>
      </c>
      <c r="E96" s="231" t="s">
        <v>998</v>
      </c>
      <c r="G96" s="233">
        <v>1</v>
      </c>
      <c r="H96" s="238">
        <v>1</v>
      </c>
    </row>
    <row r="97" spans="1:8">
      <c r="A97" s="249"/>
      <c r="B97" s="250">
        <v>1</v>
      </c>
      <c r="C97" s="251"/>
      <c r="D97" s="109" t="s">
        <v>888</v>
      </c>
      <c r="E97" s="231" t="s">
        <v>999</v>
      </c>
      <c r="G97" s="233">
        <v>1</v>
      </c>
      <c r="H97" s="238">
        <v>1</v>
      </c>
    </row>
    <row r="98" spans="1:8">
      <c r="A98" s="249"/>
      <c r="B98" s="250">
        <v>1</v>
      </c>
      <c r="C98" s="251"/>
      <c r="D98" s="109" t="s">
        <v>890</v>
      </c>
      <c r="E98" s="231" t="s">
        <v>1000</v>
      </c>
      <c r="G98" s="233">
        <v>1</v>
      </c>
      <c r="H98" s="238">
        <v>1</v>
      </c>
    </row>
    <row r="99" spans="1:8">
      <c r="A99" s="249"/>
      <c r="B99" s="250">
        <v>1</v>
      </c>
      <c r="C99" s="251"/>
      <c r="D99" s="109" t="s">
        <v>975</v>
      </c>
      <c r="E99" s="231" t="s">
        <v>1001</v>
      </c>
      <c r="G99" s="233">
        <v>1</v>
      </c>
      <c r="H99" s="238">
        <v>1</v>
      </c>
    </row>
    <row r="100" spans="1:8">
      <c r="A100" s="249"/>
      <c r="B100" s="250"/>
      <c r="C100" s="251"/>
      <c r="D100" s="109" t="s">
        <v>975</v>
      </c>
      <c r="E100" s="231" t="s">
        <v>1002</v>
      </c>
      <c r="G100" s="233" t="s">
        <v>873</v>
      </c>
      <c r="H100" s="238" t="s">
        <v>873</v>
      </c>
    </row>
    <row r="101" spans="1:8" ht="13.5" thickBot="1">
      <c r="A101" s="252"/>
      <c r="B101" s="253">
        <v>1</v>
      </c>
      <c r="C101" s="254"/>
      <c r="D101" s="109" t="s">
        <v>1003</v>
      </c>
      <c r="E101" s="231" t="s">
        <v>1004</v>
      </c>
      <c r="F101" s="240"/>
      <c r="G101" s="233">
        <v>1</v>
      </c>
      <c r="H101" s="239">
        <v>1</v>
      </c>
    </row>
    <row r="102" spans="1:8">
      <c r="E102" s="231"/>
      <c r="G102" s="236"/>
      <c r="H102" s="236"/>
    </row>
    <row r="103" spans="1:8" ht="13.5" thickBot="1">
      <c r="A103" s="268" t="s">
        <v>143</v>
      </c>
      <c r="B103" s="268" t="s">
        <v>860</v>
      </c>
      <c r="C103" s="268" t="s">
        <v>277</v>
      </c>
    </row>
    <row r="104" spans="1:8">
      <c r="A104" s="1493">
        <f>SUM(A109+A110+A111+A112+A113+A120+A121+A122+A123+A124+A125+A126+A127+A128)</f>
        <v>0</v>
      </c>
      <c r="B104" s="1493">
        <f>SUM(B109+B110+B111+B112+B113+B120+B121+B122+B123+B124+B125+B126+B127+B128)</f>
        <v>15</v>
      </c>
      <c r="C104" s="1493">
        <f>SUM(C109+C110+C111+C112+C113+C120+C121+C122+C123+C124+C125+C126+C127+C128)</f>
        <v>0</v>
      </c>
      <c r="D104" s="1495" t="s">
        <v>1005</v>
      </c>
      <c r="E104" s="1496"/>
      <c r="F104" s="1497"/>
      <c r="G104" s="281" t="s">
        <v>862</v>
      </c>
      <c r="H104" s="244" t="s">
        <v>863</v>
      </c>
    </row>
    <row r="105" spans="1:8" ht="13.5" thickBot="1">
      <c r="A105" s="1494"/>
      <c r="B105" s="1494"/>
      <c r="C105" s="1494"/>
      <c r="D105" s="1498"/>
      <c r="E105" s="1499"/>
      <c r="F105" s="1500"/>
      <c r="G105" s="282" t="s">
        <v>1006</v>
      </c>
      <c r="H105" s="264" t="s">
        <v>1006</v>
      </c>
    </row>
    <row r="106" spans="1:8">
      <c r="A106" s="266" t="s">
        <v>866</v>
      </c>
      <c r="D106" s="109" t="s">
        <v>867</v>
      </c>
      <c r="E106" s="231" t="s">
        <v>1007</v>
      </c>
      <c r="G106" s="235" t="s">
        <v>870</v>
      </c>
      <c r="H106" s="237" t="s">
        <v>870</v>
      </c>
    </row>
    <row r="107" spans="1:8">
      <c r="A107" s="267" t="s">
        <v>866</v>
      </c>
      <c r="D107" s="109" t="s">
        <v>871</v>
      </c>
      <c r="E107" s="231" t="s">
        <v>1008</v>
      </c>
      <c r="G107" s="233" t="s">
        <v>870</v>
      </c>
      <c r="H107" s="238" t="s">
        <v>870</v>
      </c>
    </row>
    <row r="108" spans="1:8" ht="13.5" thickBot="1">
      <c r="A108" s="267" t="s">
        <v>866</v>
      </c>
      <c r="D108" s="109" t="s">
        <v>1009</v>
      </c>
      <c r="E108" s="231" t="s">
        <v>1010</v>
      </c>
      <c r="G108" s="233" t="s">
        <v>873</v>
      </c>
      <c r="H108" s="238" t="s">
        <v>873</v>
      </c>
    </row>
    <row r="109" spans="1:8">
      <c r="A109" s="255"/>
      <c r="B109" s="247">
        <v>1</v>
      </c>
      <c r="C109" s="248"/>
      <c r="D109" s="109" t="s">
        <v>874</v>
      </c>
      <c r="E109" s="231" t="s">
        <v>1011</v>
      </c>
      <c r="G109" s="233">
        <v>1</v>
      </c>
      <c r="H109" s="238">
        <v>1</v>
      </c>
    </row>
    <row r="110" spans="1:8">
      <c r="A110" s="249"/>
      <c r="B110" s="250">
        <v>1</v>
      </c>
      <c r="C110" s="251"/>
      <c r="D110" s="109" t="s">
        <v>876</v>
      </c>
      <c r="E110" s="231" t="s">
        <v>1012</v>
      </c>
      <c r="G110" s="233">
        <v>1</v>
      </c>
      <c r="H110" s="238">
        <v>1</v>
      </c>
    </row>
    <row r="111" spans="1:8">
      <c r="A111" s="249"/>
      <c r="B111" s="250">
        <v>1</v>
      </c>
      <c r="C111" s="251"/>
      <c r="D111" s="109" t="s">
        <v>993</v>
      </c>
      <c r="E111" s="231" t="s">
        <v>1013</v>
      </c>
      <c r="G111" s="233">
        <v>1</v>
      </c>
      <c r="H111" s="238">
        <v>1</v>
      </c>
    </row>
    <row r="112" spans="1:8">
      <c r="A112" s="249"/>
      <c r="B112" s="250">
        <v>1</v>
      </c>
      <c r="C112" s="251"/>
      <c r="D112" s="109" t="s">
        <v>1014</v>
      </c>
      <c r="E112" s="231" t="s">
        <v>1015</v>
      </c>
      <c r="G112" s="233">
        <v>1</v>
      </c>
      <c r="H112" s="238">
        <v>1</v>
      </c>
    </row>
    <row r="113" spans="1:8" ht="13.5" thickBot="1">
      <c r="A113" s="252"/>
      <c r="B113" s="253">
        <f>SUM(E114:E119)</f>
        <v>4</v>
      </c>
      <c r="C113" s="254"/>
      <c r="D113" s="109" t="s">
        <v>923</v>
      </c>
      <c r="E113" s="231" t="s">
        <v>1016</v>
      </c>
      <c r="G113" s="234" t="s">
        <v>1017</v>
      </c>
      <c r="H113" s="241" t="s">
        <v>1017</v>
      </c>
    </row>
    <row r="114" spans="1:8">
      <c r="E114" s="261">
        <v>1</v>
      </c>
      <c r="F114" s="109" t="s">
        <v>1018</v>
      </c>
      <c r="G114" s="233">
        <v>1</v>
      </c>
      <c r="H114" s="238">
        <v>1</v>
      </c>
    </row>
    <row r="115" spans="1:8">
      <c r="E115" s="262">
        <v>1</v>
      </c>
      <c r="F115" s="109" t="s">
        <v>1019</v>
      </c>
      <c r="G115" s="233">
        <v>1</v>
      </c>
      <c r="H115" s="238">
        <v>1</v>
      </c>
    </row>
    <row r="116" spans="1:8">
      <c r="E116" s="262">
        <v>1</v>
      </c>
      <c r="F116" s="109" t="s">
        <v>1020</v>
      </c>
      <c r="G116" s="233">
        <v>1</v>
      </c>
      <c r="H116" s="238">
        <v>1</v>
      </c>
    </row>
    <row r="117" spans="1:8">
      <c r="E117" s="262">
        <v>1</v>
      </c>
      <c r="F117" s="109" t="s">
        <v>1021</v>
      </c>
      <c r="G117" s="233">
        <v>1</v>
      </c>
      <c r="H117" s="238">
        <v>1</v>
      </c>
    </row>
    <row r="118" spans="1:8">
      <c r="E118" s="262"/>
      <c r="F118" s="109" t="s">
        <v>1022</v>
      </c>
      <c r="G118" s="233" t="s">
        <v>873</v>
      </c>
      <c r="H118" s="238" t="s">
        <v>873</v>
      </c>
    </row>
    <row r="119" spans="1:8" ht="13.5" thickBot="1">
      <c r="E119" s="263"/>
      <c r="F119" s="109" t="s">
        <v>1023</v>
      </c>
      <c r="G119" s="233" t="s">
        <v>873</v>
      </c>
      <c r="H119" s="238" t="s">
        <v>873</v>
      </c>
    </row>
    <row r="120" spans="1:8">
      <c r="A120" s="255"/>
      <c r="B120" s="247">
        <v>1</v>
      </c>
      <c r="C120" s="248"/>
      <c r="D120" s="109" t="s">
        <v>970</v>
      </c>
      <c r="E120" s="231" t="s">
        <v>1024</v>
      </c>
      <c r="G120" s="233">
        <v>1</v>
      </c>
      <c r="H120" s="238">
        <v>1</v>
      </c>
    </row>
    <row r="121" spans="1:8">
      <c r="A121" s="249"/>
      <c r="B121" s="250">
        <v>1</v>
      </c>
      <c r="C121" s="251"/>
      <c r="D121" s="109" t="s">
        <v>892</v>
      </c>
      <c r="E121" s="231" t="s">
        <v>1025</v>
      </c>
      <c r="G121" s="233">
        <v>1</v>
      </c>
      <c r="H121" s="238">
        <v>1</v>
      </c>
    </row>
    <row r="122" spans="1:8">
      <c r="A122" s="249"/>
      <c r="B122" s="250">
        <v>1</v>
      </c>
      <c r="C122" s="251"/>
      <c r="D122" s="109" t="s">
        <v>894</v>
      </c>
      <c r="E122" s="231" t="s">
        <v>1026</v>
      </c>
      <c r="G122" s="233">
        <v>1</v>
      </c>
      <c r="H122" s="238">
        <v>1</v>
      </c>
    </row>
    <row r="123" spans="1:8">
      <c r="A123" s="249"/>
      <c r="B123" s="250">
        <v>1</v>
      </c>
      <c r="C123" s="251"/>
      <c r="D123" s="109" t="s">
        <v>896</v>
      </c>
      <c r="E123" s="231" t="s">
        <v>1027</v>
      </c>
      <c r="G123" s="233">
        <v>1</v>
      </c>
      <c r="H123" s="238">
        <v>1</v>
      </c>
    </row>
    <row r="124" spans="1:8">
      <c r="A124" s="249"/>
      <c r="B124" s="250">
        <v>1</v>
      </c>
      <c r="C124" s="251"/>
      <c r="D124" s="109" t="s">
        <v>898</v>
      </c>
      <c r="E124" s="231" t="s">
        <v>1028</v>
      </c>
      <c r="G124" s="233">
        <v>1</v>
      </c>
      <c r="H124" s="238">
        <v>1</v>
      </c>
    </row>
    <row r="125" spans="1:8">
      <c r="A125" s="249"/>
      <c r="B125" s="250">
        <v>1</v>
      </c>
      <c r="C125" s="251"/>
      <c r="D125" s="109" t="s">
        <v>1029</v>
      </c>
      <c r="E125" s="231" t="s">
        <v>1030</v>
      </c>
      <c r="G125" s="233">
        <v>1</v>
      </c>
      <c r="H125" s="238">
        <v>1</v>
      </c>
    </row>
    <row r="126" spans="1:8">
      <c r="A126" s="249"/>
      <c r="B126" s="274">
        <v>1</v>
      </c>
      <c r="C126" s="251"/>
      <c r="D126" s="109" t="s">
        <v>1031</v>
      </c>
      <c r="E126" s="231" t="s">
        <v>1032</v>
      </c>
      <c r="G126" s="233">
        <v>1</v>
      </c>
      <c r="H126" s="238">
        <v>1</v>
      </c>
    </row>
    <row r="127" spans="1:8">
      <c r="A127" s="249"/>
      <c r="B127" s="250"/>
      <c r="C127" s="251"/>
      <c r="D127" s="109" t="s">
        <v>902</v>
      </c>
      <c r="E127" s="231" t="s">
        <v>1033</v>
      </c>
      <c r="G127" s="233" t="s">
        <v>873</v>
      </c>
      <c r="H127" s="238" t="s">
        <v>873</v>
      </c>
    </row>
    <row r="128" spans="1:8" ht="13.5" thickBot="1">
      <c r="A128" s="252"/>
      <c r="B128" s="253"/>
      <c r="C128" s="254"/>
      <c r="D128" s="109" t="s">
        <v>905</v>
      </c>
      <c r="E128" s="231" t="s">
        <v>1034</v>
      </c>
      <c r="G128" s="233" t="s">
        <v>873</v>
      </c>
      <c r="H128" s="239" t="s">
        <v>873</v>
      </c>
    </row>
    <row r="130" spans="1:8" ht="13.5" thickBot="1">
      <c r="A130" s="268" t="s">
        <v>143</v>
      </c>
      <c r="B130" s="268" t="s">
        <v>860</v>
      </c>
      <c r="C130" s="268" t="s">
        <v>277</v>
      </c>
    </row>
    <row r="131" spans="1:8">
      <c r="A131" s="1493">
        <f>SUM(A133:A139)</f>
        <v>2</v>
      </c>
      <c r="B131" s="1493">
        <f>SUM(B133:B139)</f>
        <v>4</v>
      </c>
      <c r="C131" s="1493">
        <f>SUM(C133:C139)</f>
        <v>0</v>
      </c>
      <c r="D131" s="1495" t="s">
        <v>1035</v>
      </c>
      <c r="E131" s="1496"/>
      <c r="F131" s="1497"/>
      <c r="G131" s="281" t="s">
        <v>862</v>
      </c>
      <c r="H131" s="244" t="s">
        <v>863</v>
      </c>
    </row>
    <row r="132" spans="1:8" ht="13.5" thickBot="1">
      <c r="A132" s="1494"/>
      <c r="B132" s="1494"/>
      <c r="C132" s="1494"/>
      <c r="D132" s="1498"/>
      <c r="E132" s="1499"/>
      <c r="F132" s="1500"/>
      <c r="G132" s="282" t="s">
        <v>908</v>
      </c>
      <c r="H132" s="264" t="s">
        <v>1036</v>
      </c>
    </row>
    <row r="133" spans="1:8">
      <c r="A133" s="278">
        <v>1</v>
      </c>
      <c r="B133" s="279"/>
      <c r="C133" s="248"/>
      <c r="D133" s="109" t="s">
        <v>980</v>
      </c>
      <c r="E133" s="231" t="s">
        <v>1037</v>
      </c>
      <c r="G133" s="235">
        <v>1</v>
      </c>
      <c r="H133" s="237">
        <v>1</v>
      </c>
    </row>
    <row r="134" spans="1:8">
      <c r="A134" s="273">
        <v>1</v>
      </c>
      <c r="B134" s="274"/>
      <c r="C134" s="251"/>
      <c r="D134" s="109" t="s">
        <v>913</v>
      </c>
      <c r="E134" s="231" t="s">
        <v>1037</v>
      </c>
      <c r="G134" s="233">
        <v>1</v>
      </c>
      <c r="H134" s="238">
        <v>1</v>
      </c>
    </row>
    <row r="135" spans="1:8">
      <c r="A135" s="273"/>
      <c r="B135" s="274">
        <v>1</v>
      </c>
      <c r="C135" s="251"/>
      <c r="D135" s="109" t="s">
        <v>1038</v>
      </c>
      <c r="E135" s="231" t="s">
        <v>1037</v>
      </c>
      <c r="G135" s="233">
        <v>1</v>
      </c>
      <c r="H135" s="238">
        <v>1</v>
      </c>
    </row>
    <row r="136" spans="1:8">
      <c r="A136" s="273"/>
      <c r="B136" s="274">
        <v>1</v>
      </c>
      <c r="C136" s="251"/>
      <c r="D136" s="109" t="s">
        <v>1039</v>
      </c>
      <c r="E136" s="231" t="s">
        <v>1040</v>
      </c>
      <c r="G136" s="233">
        <v>1</v>
      </c>
      <c r="H136" s="238">
        <v>1</v>
      </c>
    </row>
    <row r="137" spans="1:8">
      <c r="A137" s="249"/>
      <c r="B137" s="274">
        <v>1</v>
      </c>
      <c r="C137" s="251"/>
      <c r="D137" s="109" t="s">
        <v>1041</v>
      </c>
      <c r="E137" s="231" t="s">
        <v>1040</v>
      </c>
      <c r="G137" s="233" t="s">
        <v>873</v>
      </c>
      <c r="H137" s="238">
        <v>1</v>
      </c>
    </row>
    <row r="138" spans="1:8">
      <c r="A138" s="249"/>
      <c r="B138" s="250">
        <v>1</v>
      </c>
      <c r="C138" s="251"/>
      <c r="D138" s="109" t="s">
        <v>876</v>
      </c>
      <c r="E138" s="231" t="s">
        <v>1042</v>
      </c>
      <c r="G138" s="233">
        <v>1</v>
      </c>
      <c r="H138" s="238">
        <v>1</v>
      </c>
    </row>
    <row r="139" spans="1:8" ht="13.5" thickBot="1">
      <c r="A139" s="252"/>
      <c r="B139" s="253"/>
      <c r="C139" s="254"/>
      <c r="D139" s="109" t="s">
        <v>1043</v>
      </c>
      <c r="E139" s="231" t="s">
        <v>1044</v>
      </c>
      <c r="G139" s="233" t="s">
        <v>873</v>
      </c>
      <c r="H139" s="239" t="s">
        <v>873</v>
      </c>
    </row>
    <row r="140" spans="1:8" ht="13.5" thickBot="1">
      <c r="A140" s="268" t="s">
        <v>143</v>
      </c>
      <c r="B140" s="268" t="s">
        <v>860</v>
      </c>
      <c r="C140" s="268" t="s">
        <v>277</v>
      </c>
    </row>
    <row r="141" spans="1:8">
      <c r="A141" s="1493">
        <f>SUM(A143:A148)</f>
        <v>2</v>
      </c>
      <c r="B141" s="1493">
        <f>SUM(B143:B148)</f>
        <v>2</v>
      </c>
      <c r="C141" s="1493">
        <f>SUM(C143:C148)</f>
        <v>0</v>
      </c>
      <c r="D141" s="1495" t="s">
        <v>1045</v>
      </c>
      <c r="E141" s="1496"/>
      <c r="F141" s="1497"/>
      <c r="G141" s="286" t="s">
        <v>862</v>
      </c>
      <c r="H141" s="287" t="s">
        <v>863</v>
      </c>
    </row>
    <row r="142" spans="1:8" ht="12" customHeight="1" thickBot="1">
      <c r="A142" s="1494"/>
      <c r="B142" s="1494"/>
      <c r="C142" s="1494"/>
      <c r="D142" s="1498"/>
      <c r="E142" s="1499"/>
      <c r="F142" s="1500"/>
      <c r="G142" s="288" t="s">
        <v>873</v>
      </c>
      <c r="H142" s="289" t="s">
        <v>1046</v>
      </c>
    </row>
    <row r="143" spans="1:8">
      <c r="A143" s="278"/>
      <c r="B143" s="279">
        <v>1</v>
      </c>
      <c r="C143" s="248"/>
      <c r="D143" s="109" t="s">
        <v>980</v>
      </c>
      <c r="E143" s="109" t="s">
        <v>1047</v>
      </c>
      <c r="G143" s="235" t="s">
        <v>873</v>
      </c>
      <c r="H143" s="237" t="s">
        <v>1048</v>
      </c>
    </row>
    <row r="144" spans="1:8">
      <c r="A144" s="273"/>
      <c r="B144" s="274">
        <v>1</v>
      </c>
      <c r="C144" s="251"/>
      <c r="D144" s="109" t="s">
        <v>987</v>
      </c>
      <c r="E144" s="109" t="s">
        <v>1047</v>
      </c>
      <c r="G144" s="235" t="s">
        <v>873</v>
      </c>
      <c r="H144" s="237" t="s">
        <v>1048</v>
      </c>
    </row>
    <row r="145" spans="1:8">
      <c r="A145" s="273">
        <v>1</v>
      </c>
      <c r="B145" s="274"/>
      <c r="C145" s="251"/>
      <c r="D145" s="109" t="s">
        <v>1038</v>
      </c>
      <c r="E145" s="109" t="s">
        <v>1047</v>
      </c>
      <c r="G145" s="235" t="s">
        <v>873</v>
      </c>
      <c r="H145" s="237" t="s">
        <v>1048</v>
      </c>
    </row>
    <row r="146" spans="1:8">
      <c r="A146" s="273">
        <v>1</v>
      </c>
      <c r="B146" s="274"/>
      <c r="C146" s="251"/>
      <c r="D146" s="109" t="s">
        <v>1039</v>
      </c>
      <c r="E146" s="109" t="s">
        <v>1047</v>
      </c>
      <c r="G146" s="235" t="s">
        <v>873</v>
      </c>
      <c r="H146" s="237" t="s">
        <v>1048</v>
      </c>
    </row>
    <row r="147" spans="1:8">
      <c r="A147" s="249"/>
      <c r="B147" s="250"/>
      <c r="C147" s="251"/>
      <c r="D147" s="109" t="s">
        <v>1041</v>
      </c>
      <c r="E147" s="109" t="s">
        <v>1047</v>
      </c>
      <c r="G147" s="235" t="s">
        <v>873</v>
      </c>
      <c r="H147" s="237" t="s">
        <v>1048</v>
      </c>
    </row>
    <row r="148" spans="1:8" ht="13.5" thickBot="1">
      <c r="A148" s="252"/>
      <c r="B148" s="253"/>
      <c r="C148" s="254"/>
      <c r="D148" s="109" t="s">
        <v>1049</v>
      </c>
      <c r="E148" s="109" t="s">
        <v>1047</v>
      </c>
      <c r="G148" s="235" t="s">
        <v>873</v>
      </c>
      <c r="H148" s="242" t="s">
        <v>1048</v>
      </c>
    </row>
    <row r="149" spans="1:8" ht="13.5" thickBot="1"/>
    <row r="150" spans="1:8" ht="27" customHeight="1" thickBot="1">
      <c r="A150" s="269">
        <f>A7+A29+A40+A81+A104+A131+A141</f>
        <v>14</v>
      </c>
      <c r="B150" s="269">
        <f>B7+B29+B40+B81+B104+B131+B141</f>
        <v>78</v>
      </c>
      <c r="C150" s="269">
        <f>C7+C29+C40+C81+C104+C131+C141</f>
        <v>18</v>
      </c>
      <c r="D150" s="1501" t="s">
        <v>1050</v>
      </c>
      <c r="E150" s="1502"/>
      <c r="F150" s="1502"/>
      <c r="G150" s="1491" t="s">
        <v>1051</v>
      </c>
      <c r="H150" s="1492"/>
    </row>
    <row r="151" spans="1:8">
      <c r="C151" s="272">
        <f>+C11+C14+C17</f>
        <v>9</v>
      </c>
      <c r="D151" s="109" t="s">
        <v>1052</v>
      </c>
    </row>
  </sheetData>
  <mergeCells count="30">
    <mergeCell ref="A7:A8"/>
    <mergeCell ref="B7:B8"/>
    <mergeCell ref="C7:C8"/>
    <mergeCell ref="D7:F8"/>
    <mergeCell ref="A29:A30"/>
    <mergeCell ref="B29:B30"/>
    <mergeCell ref="C29:C30"/>
    <mergeCell ref="D29:F30"/>
    <mergeCell ref="A40:A41"/>
    <mergeCell ref="B40:B41"/>
    <mergeCell ref="C40:C41"/>
    <mergeCell ref="D40:F41"/>
    <mergeCell ref="A81:A82"/>
    <mergeCell ref="B81:B82"/>
    <mergeCell ref="C81:C82"/>
    <mergeCell ref="D81:F82"/>
    <mergeCell ref="A104:A105"/>
    <mergeCell ref="B104:B105"/>
    <mergeCell ref="C104:C105"/>
    <mergeCell ref="D104:F105"/>
    <mergeCell ref="A131:A132"/>
    <mergeCell ref="B131:B132"/>
    <mergeCell ref="C131:C132"/>
    <mergeCell ref="D131:F132"/>
    <mergeCell ref="G150:H150"/>
    <mergeCell ref="A141:A142"/>
    <mergeCell ref="B141:B142"/>
    <mergeCell ref="C141:C142"/>
    <mergeCell ref="D141:F142"/>
    <mergeCell ref="D150:F150"/>
  </mergeCells>
  <pageMargins left="0.7" right="0.7" top="0.75" bottom="0.75" header="0.3" footer="0.3"/>
  <pageSetup scale="66" orientation="portrait" r:id="rId1"/>
  <rowBreaks count="1" manualBreakCount="1">
    <brk id="79" max="7" man="1"/>
  </rowBreaks>
  <colBreaks count="1" manualBreakCount="1">
    <brk id="8" max="1048575" man="1"/>
  </col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8"/>
  <dimension ref="A1:AK142"/>
  <sheetViews>
    <sheetView workbookViewId="0"/>
  </sheetViews>
  <sheetFormatPr defaultRowHeight="12.75"/>
  <cols>
    <col min="1" max="2" width="3.5" style="412" customWidth="1"/>
    <col min="3" max="3" width="18" style="413" customWidth="1"/>
    <col min="4" max="4" width="3.1640625" style="412" customWidth="1"/>
    <col min="5" max="5" width="103.5" style="412" customWidth="1"/>
    <col min="6" max="19" width="14" style="412" customWidth="1"/>
    <col min="20" max="16384" width="9.33203125" style="412"/>
  </cols>
  <sheetData>
    <row r="1" spans="1:5" s="409" customFormat="1" ht="20.25">
      <c r="C1" s="410"/>
      <c r="E1" s="411" t="s">
        <v>1053</v>
      </c>
    </row>
    <row r="2" spans="1:5" ht="13.5" customHeight="1" thickBot="1"/>
    <row r="3" spans="1:5" ht="22.5" customHeight="1">
      <c r="A3" s="414"/>
      <c r="B3" s="415"/>
      <c r="C3" s="416" t="s">
        <v>1054</v>
      </c>
      <c r="D3" s="417"/>
      <c r="E3" s="418"/>
    </row>
    <row r="4" spans="1:5" ht="27" customHeight="1">
      <c r="A4" s="414"/>
      <c r="B4" s="419"/>
      <c r="C4" s="463" t="s">
        <v>1055</v>
      </c>
      <c r="D4" s="420"/>
      <c r="E4" s="414" t="s">
        <v>1056</v>
      </c>
    </row>
    <row r="5" spans="1:5" ht="12.75" customHeight="1">
      <c r="A5" s="414"/>
      <c r="B5" s="419"/>
      <c r="C5" s="421"/>
      <c r="D5" s="420"/>
      <c r="E5" s="414"/>
    </row>
    <row r="6" spans="1:5" ht="17.100000000000001" customHeight="1">
      <c r="A6" s="414"/>
      <c r="B6" s="419"/>
      <c r="C6" s="422">
        <v>1234</v>
      </c>
      <c r="D6" s="420"/>
      <c r="E6" s="423" t="s">
        <v>1057</v>
      </c>
    </row>
    <row r="7" spans="1:5" ht="12.75" customHeight="1">
      <c r="A7" s="414"/>
      <c r="B7" s="419"/>
      <c r="C7" s="424"/>
      <c r="D7" s="420"/>
      <c r="E7" s="414" t="s">
        <v>1058</v>
      </c>
    </row>
    <row r="8" spans="1:5" ht="17.100000000000001" customHeight="1">
      <c r="A8" s="414"/>
      <c r="B8" s="419"/>
      <c r="C8" s="425" t="s">
        <v>574</v>
      </c>
      <c r="D8" s="420"/>
      <c r="E8" s="423" t="s">
        <v>1059</v>
      </c>
    </row>
    <row r="9" spans="1:5" ht="13.5" customHeight="1">
      <c r="A9" s="414"/>
      <c r="B9" s="419"/>
      <c r="C9" s="424"/>
      <c r="D9" s="420"/>
      <c r="E9" s="414" t="s">
        <v>1060</v>
      </c>
    </row>
    <row r="10" spans="1:5" ht="17.100000000000001" customHeight="1">
      <c r="A10" s="414"/>
      <c r="B10" s="419"/>
      <c r="C10" s="426">
        <v>1234</v>
      </c>
      <c r="D10" s="420"/>
      <c r="E10" s="423" t="s">
        <v>1061</v>
      </c>
    </row>
    <row r="11" spans="1:5" ht="12.75" customHeight="1">
      <c r="A11" s="414"/>
      <c r="B11" s="419"/>
      <c r="C11" s="424"/>
      <c r="D11" s="420"/>
      <c r="E11" s="414" t="s">
        <v>1058</v>
      </c>
    </row>
    <row r="12" spans="1:5" ht="17.100000000000001" customHeight="1">
      <c r="A12" s="414"/>
      <c r="B12" s="419"/>
      <c r="C12" s="427"/>
      <c r="D12" s="420"/>
      <c r="E12" s="423" t="s">
        <v>1062</v>
      </c>
    </row>
    <row r="13" spans="1:5" ht="12.75" customHeight="1">
      <c r="A13" s="414"/>
      <c r="B13" s="419"/>
      <c r="C13" s="424"/>
      <c r="D13" s="420"/>
      <c r="E13" s="414" t="s">
        <v>1058</v>
      </c>
    </row>
    <row r="14" spans="1:5" ht="12.75" customHeight="1">
      <c r="A14" s="414"/>
      <c r="B14" s="419"/>
      <c r="C14" s="424"/>
      <c r="D14" s="420"/>
      <c r="E14" s="414"/>
    </row>
    <row r="15" spans="1:5" ht="28.5" customHeight="1">
      <c r="A15" s="414"/>
      <c r="B15" s="419"/>
      <c r="C15" s="424"/>
      <c r="D15" s="420"/>
      <c r="E15" s="428" t="s">
        <v>1063</v>
      </c>
    </row>
    <row r="16" spans="1:5" ht="10.5" customHeight="1" thickBot="1">
      <c r="A16" s="414"/>
      <c r="B16" s="429"/>
      <c r="C16" s="430"/>
      <c r="D16" s="431"/>
      <c r="E16" s="432"/>
    </row>
    <row r="17" spans="3:5" ht="18" customHeight="1">
      <c r="C17" s="433"/>
    </row>
    <row r="18" spans="3:5" ht="17.25" customHeight="1">
      <c r="C18" s="434" t="s">
        <v>1064</v>
      </c>
    </row>
    <row r="19" spans="3:5" ht="46.5" customHeight="1">
      <c r="C19" s="1516" t="s">
        <v>1065</v>
      </c>
      <c r="D19" s="1516"/>
      <c r="E19" s="1516"/>
    </row>
    <row r="20" spans="3:5" ht="62.45" customHeight="1">
      <c r="C20" s="435"/>
      <c r="E20" s="1288" t="s">
        <v>1066</v>
      </c>
    </row>
    <row r="21" spans="3:5" ht="55.5" customHeight="1">
      <c r="C21" s="435"/>
      <c r="E21" s="1288" t="s">
        <v>1067</v>
      </c>
    </row>
    <row r="22" spans="3:5" ht="14.25" customHeight="1">
      <c r="E22" s="1288"/>
    </row>
    <row r="23" spans="3:5" ht="17.25" customHeight="1">
      <c r="C23" s="413" t="s">
        <v>1068</v>
      </c>
      <c r="E23" s="436" t="s">
        <v>1069</v>
      </c>
    </row>
    <row r="24" spans="3:5" ht="17.25" customHeight="1">
      <c r="C24" s="413" t="s">
        <v>1068</v>
      </c>
      <c r="E24" s="436" t="s">
        <v>1070</v>
      </c>
    </row>
    <row r="25" spans="3:5" ht="17.25" customHeight="1">
      <c r="C25" s="413" t="s">
        <v>1068</v>
      </c>
      <c r="E25" s="1118" t="s">
        <v>1071</v>
      </c>
    </row>
    <row r="26" spans="3:5" ht="17.25" customHeight="1">
      <c r="C26" s="413" t="s">
        <v>1068</v>
      </c>
      <c r="E26" s="436" t="s">
        <v>1072</v>
      </c>
    </row>
    <row r="27" spans="3:5" ht="17.25" customHeight="1">
      <c r="C27" s="413" t="s">
        <v>1068</v>
      </c>
      <c r="E27" s="436" t="s">
        <v>1073</v>
      </c>
    </row>
    <row r="28" spans="3:5" ht="17.25" customHeight="1">
      <c r="C28" s="413" t="s">
        <v>1068</v>
      </c>
      <c r="E28" s="436" t="s">
        <v>1074</v>
      </c>
    </row>
    <row r="29" spans="3:5" ht="17.25" customHeight="1">
      <c r="C29" s="413" t="s">
        <v>1068</v>
      </c>
      <c r="E29" s="436" t="s">
        <v>1075</v>
      </c>
    </row>
    <row r="30" spans="3:5" ht="17.25" customHeight="1">
      <c r="C30" s="413" t="s">
        <v>1068</v>
      </c>
      <c r="E30" s="436" t="s">
        <v>1076</v>
      </c>
    </row>
    <row r="31" spans="3:5" ht="17.25" customHeight="1">
      <c r="C31" s="413" t="s">
        <v>1068</v>
      </c>
      <c r="E31" s="436" t="s">
        <v>1077</v>
      </c>
    </row>
    <row r="32" spans="3:5" ht="29.25" customHeight="1">
      <c r="C32" s="413" t="s">
        <v>1068</v>
      </c>
      <c r="E32" s="701" t="s">
        <v>1078</v>
      </c>
    </row>
    <row r="33" spans="3:6" ht="17.25" customHeight="1">
      <c r="C33" s="413" t="s">
        <v>1068</v>
      </c>
      <c r="D33" s="413"/>
      <c r="E33" s="436" t="s">
        <v>1079</v>
      </c>
    </row>
    <row r="34" spans="3:6" ht="24.75" customHeight="1">
      <c r="C34" s="413" t="s">
        <v>1068</v>
      </c>
      <c r="D34" s="413"/>
      <c r="E34" s="437" t="s">
        <v>1080</v>
      </c>
    </row>
    <row r="35" spans="3:6" ht="39.75" customHeight="1">
      <c r="C35" s="413" t="s">
        <v>1068</v>
      </c>
      <c r="D35" s="413"/>
      <c r="E35" s="437" t="s">
        <v>1081</v>
      </c>
    </row>
    <row r="36" spans="3:6" ht="17.25" customHeight="1">
      <c r="C36" s="413" t="s">
        <v>1068</v>
      </c>
      <c r="D36" s="413"/>
      <c r="E36" s="436" t="s">
        <v>1082</v>
      </c>
    </row>
    <row r="37" spans="3:6" ht="27" customHeight="1">
      <c r="C37" s="413" t="s">
        <v>1083</v>
      </c>
      <c r="D37" s="413"/>
      <c r="E37" s="438" t="s">
        <v>1084</v>
      </c>
    </row>
    <row r="38" spans="3:6" ht="26.25" customHeight="1">
      <c r="C38" s="413" t="s">
        <v>1085</v>
      </c>
      <c r="D38" s="413"/>
      <c r="E38" s="446" t="s">
        <v>1086</v>
      </c>
    </row>
    <row r="39" spans="3:6" ht="17.25" customHeight="1">
      <c r="C39" s="413" t="s">
        <v>1087</v>
      </c>
      <c r="D39" s="413"/>
      <c r="E39" s="445" t="s">
        <v>1088</v>
      </c>
    </row>
    <row r="40" spans="3:6" ht="15" customHeight="1">
      <c r="D40" s="413"/>
      <c r="E40" s="447" t="s">
        <v>1089</v>
      </c>
    </row>
    <row r="41" spans="3:6" ht="17.25" customHeight="1">
      <c r="D41" s="413"/>
      <c r="E41" s="448" t="s">
        <v>1090</v>
      </c>
    </row>
    <row r="42" spans="3:6" ht="17.25" customHeight="1">
      <c r="D42" s="413"/>
      <c r="E42" s="448" t="s">
        <v>1091</v>
      </c>
    </row>
    <row r="43" spans="3:6" ht="17.25" customHeight="1">
      <c r="C43" s="413" t="s">
        <v>1092</v>
      </c>
      <c r="D43" s="413"/>
      <c r="E43" s="436" t="s">
        <v>1093</v>
      </c>
    </row>
    <row r="44" spans="3:6" ht="28.5" customHeight="1">
      <c r="C44" s="413" t="s">
        <v>1083</v>
      </c>
      <c r="D44" s="413"/>
      <c r="E44" s="440" t="s">
        <v>1094</v>
      </c>
    </row>
    <row r="45" spans="3:6" ht="17.25" customHeight="1">
      <c r="C45" s="413" t="s">
        <v>1095</v>
      </c>
      <c r="D45" s="413"/>
      <c r="E45" s="441" t="s">
        <v>1096</v>
      </c>
      <c r="F45" s="532"/>
    </row>
    <row r="46" spans="3:6">
      <c r="C46" s="413" t="s">
        <v>1097</v>
      </c>
      <c r="D46" s="413"/>
      <c r="E46" s="439" t="s">
        <v>1098</v>
      </c>
    </row>
    <row r="47" spans="3:6">
      <c r="C47" s="413" t="s">
        <v>1099</v>
      </c>
      <c r="D47" s="413"/>
      <c r="E47" s="445" t="s">
        <v>1100</v>
      </c>
    </row>
    <row r="48" spans="3:6" ht="17.25" customHeight="1">
      <c r="C48" s="413" t="s">
        <v>1101</v>
      </c>
      <c r="D48" s="413"/>
      <c r="E48" s="436" t="s">
        <v>1102</v>
      </c>
    </row>
    <row r="49" spans="1:6" ht="27" customHeight="1">
      <c r="C49" s="413" t="s">
        <v>1103</v>
      </c>
      <c r="D49" s="413"/>
      <c r="E49" s="440" t="s">
        <v>1104</v>
      </c>
      <c r="F49" s="532"/>
    </row>
    <row r="50" spans="1:6">
      <c r="C50" s="413" t="s">
        <v>1105</v>
      </c>
      <c r="D50" s="413"/>
      <c r="E50" s="442" t="s">
        <v>1106</v>
      </c>
    </row>
    <row r="51" spans="1:6" ht="59.1" customHeight="1">
      <c r="A51" s="442"/>
      <c r="C51" s="413" t="s">
        <v>1107</v>
      </c>
      <c r="D51" s="413"/>
      <c r="E51" s="936" t="s">
        <v>1108</v>
      </c>
    </row>
    <row r="52" spans="1:6" ht="25.5">
      <c r="C52" s="413" t="s">
        <v>1109</v>
      </c>
      <c r="D52" s="413"/>
      <c r="E52" s="440" t="s">
        <v>1110</v>
      </c>
    </row>
    <row r="53" spans="1:6" ht="51">
      <c r="C53" s="413" t="s">
        <v>1111</v>
      </c>
      <c r="D53" s="413"/>
      <c r="E53" s="440" t="s">
        <v>1112</v>
      </c>
    </row>
    <row r="54" spans="1:6" ht="25.5">
      <c r="A54" s="409"/>
      <c r="C54" s="413" t="s">
        <v>1113</v>
      </c>
      <c r="D54" s="413"/>
      <c r="E54" s="440" t="s">
        <v>1114</v>
      </c>
    </row>
    <row r="55" spans="1:6" ht="51">
      <c r="A55" s="409"/>
      <c r="D55" s="413"/>
      <c r="E55" s="440" t="s">
        <v>1115</v>
      </c>
    </row>
    <row r="56" spans="1:6" ht="83.45" customHeight="1">
      <c r="A56" s="409"/>
      <c r="D56" s="413"/>
      <c r="E56" s="444" t="s">
        <v>1116</v>
      </c>
    </row>
    <row r="57" spans="1:6" ht="25.5">
      <c r="C57" s="413" t="s">
        <v>1117</v>
      </c>
      <c r="D57" s="413"/>
      <c r="E57" s="449" t="s">
        <v>1118</v>
      </c>
    </row>
    <row r="58" spans="1:6">
      <c r="A58" s="409"/>
      <c r="C58" s="413" t="s">
        <v>1119</v>
      </c>
      <c r="D58" s="413"/>
      <c r="E58" s="445" t="s">
        <v>1120</v>
      </c>
    </row>
    <row r="59" spans="1:6" ht="25.5">
      <c r="D59" s="413"/>
      <c r="E59" s="447" t="s">
        <v>1121</v>
      </c>
    </row>
    <row r="60" spans="1:6" ht="65.25" customHeight="1">
      <c r="C60" s="413" t="s">
        <v>1122</v>
      </c>
      <c r="D60" s="413"/>
      <c r="E60" s="446" t="s">
        <v>1123</v>
      </c>
    </row>
    <row r="61" spans="1:6" ht="51">
      <c r="C61" s="413" t="s">
        <v>1124</v>
      </c>
      <c r="D61" s="413"/>
      <c r="E61" s="446" t="s">
        <v>1125</v>
      </c>
    </row>
    <row r="62" spans="1:6" ht="26.25" customHeight="1">
      <c r="C62" s="413" t="s">
        <v>1126</v>
      </c>
      <c r="D62" s="413"/>
      <c r="E62" s="450" t="s">
        <v>1127</v>
      </c>
    </row>
    <row r="63" spans="1:6" ht="25.5">
      <c r="C63" s="413" t="s">
        <v>1128</v>
      </c>
      <c r="D63" s="413"/>
      <c r="E63" s="451" t="s">
        <v>1129</v>
      </c>
    </row>
    <row r="64" spans="1:6" ht="38.25">
      <c r="C64" s="413" t="s">
        <v>1130</v>
      </c>
      <c r="D64" s="413"/>
      <c r="E64" s="450" t="s">
        <v>1131</v>
      </c>
    </row>
    <row r="65" spans="1:5" ht="25.5">
      <c r="C65" s="413" t="s">
        <v>1132</v>
      </c>
      <c r="D65" s="413"/>
      <c r="E65" s="450" t="s">
        <v>1133</v>
      </c>
    </row>
    <row r="66" spans="1:5" ht="17.25" customHeight="1">
      <c r="C66" s="413" t="s">
        <v>1134</v>
      </c>
      <c r="D66" s="413"/>
      <c r="E66" s="445" t="s">
        <v>1135</v>
      </c>
    </row>
    <row r="67" spans="1:5" ht="25.5" customHeight="1">
      <c r="C67" s="413" t="s">
        <v>1136</v>
      </c>
      <c r="D67" s="413"/>
      <c r="E67" s="445" t="s">
        <v>1137</v>
      </c>
    </row>
    <row r="68" spans="1:5" ht="25.5" customHeight="1">
      <c r="D68" s="413"/>
      <c r="E68" s="445" t="s">
        <v>1138</v>
      </c>
    </row>
    <row r="69" spans="1:5" ht="26.45" customHeight="1">
      <c r="D69" s="413"/>
      <c r="E69" s="447" t="s">
        <v>1139</v>
      </c>
    </row>
    <row r="70" spans="1:5" ht="30.75" customHeight="1">
      <c r="D70" s="413"/>
      <c r="E70" s="448" t="s">
        <v>1140</v>
      </c>
    </row>
    <row r="71" spans="1:5" ht="38.25" customHeight="1">
      <c r="D71" s="413"/>
      <c r="E71" s="437" t="s">
        <v>1141</v>
      </c>
    </row>
    <row r="72" spans="1:5" ht="29.25" customHeight="1">
      <c r="D72" s="413"/>
      <c r="E72" s="437" t="s">
        <v>1142</v>
      </c>
    </row>
    <row r="73" spans="1:5" ht="90.75" customHeight="1">
      <c r="D73" s="413"/>
      <c r="E73" s="444" t="s">
        <v>1116</v>
      </c>
    </row>
    <row r="74" spans="1:5" ht="38.25">
      <c r="A74" s="443"/>
      <c r="C74" s="413" t="s">
        <v>1143</v>
      </c>
      <c r="D74" s="413"/>
      <c r="E74" s="450" t="s">
        <v>1144</v>
      </c>
    </row>
    <row r="75" spans="1:5" ht="38.25">
      <c r="A75" s="443"/>
      <c r="C75" s="413" t="s">
        <v>1145</v>
      </c>
      <c r="D75" s="413"/>
      <c r="E75" s="451" t="s">
        <v>1146</v>
      </c>
    </row>
    <row r="76" spans="1:5" ht="25.5">
      <c r="C76" s="413" t="s">
        <v>1147</v>
      </c>
      <c r="D76" s="413"/>
      <c r="E76" s="450" t="s">
        <v>1148</v>
      </c>
    </row>
    <row r="77" spans="1:5" ht="51">
      <c r="C77" s="413" t="s">
        <v>1149</v>
      </c>
      <c r="D77" s="413"/>
      <c r="E77" s="450" t="s">
        <v>1150</v>
      </c>
    </row>
    <row r="78" spans="1:5" ht="25.5">
      <c r="C78" s="413" t="s">
        <v>1151</v>
      </c>
      <c r="D78" s="413"/>
      <c r="E78" s="450" t="s">
        <v>1152</v>
      </c>
    </row>
    <row r="79" spans="1:5" ht="25.5">
      <c r="C79" s="413" t="s">
        <v>1153</v>
      </c>
      <c r="D79" s="413"/>
      <c r="E79" s="450" t="s">
        <v>1154</v>
      </c>
    </row>
    <row r="80" spans="1:5">
      <c r="D80" s="413"/>
    </row>
    <row r="81" spans="1:37">
      <c r="D81" s="413"/>
    </row>
    <row r="82" spans="1:37" ht="15.75">
      <c r="A82" s="442"/>
      <c r="C82" s="434" t="s">
        <v>1155</v>
      </c>
      <c r="D82" s="413"/>
    </row>
    <row r="83" spans="1:37" ht="38.25">
      <c r="C83" s="413" t="s">
        <v>1156</v>
      </c>
      <c r="D83" s="413"/>
      <c r="E83" s="450" t="s">
        <v>1157</v>
      </c>
    </row>
    <row r="84" spans="1:37">
      <c r="C84" s="412"/>
    </row>
    <row r="85" spans="1:37" ht="76.5">
      <c r="C85" s="413" t="s">
        <v>1158</v>
      </c>
      <c r="D85" s="413"/>
      <c r="E85" s="450" t="s">
        <v>1159</v>
      </c>
    </row>
    <row r="86" spans="1:37">
      <c r="D86" s="413"/>
    </row>
    <row r="87" spans="1:37" ht="15.75">
      <c r="C87" s="434" t="s">
        <v>1160</v>
      </c>
      <c r="D87" s="413"/>
      <c r="AK87" s="412" t="e">
        <f>((#REF!/100+#REF!/100)*(T13/366)*(U205))+(((#REF!/100+#REF!/100)*(T13/366)*(U205))*(U206))</f>
        <v>#REF!</v>
      </c>
    </row>
    <row r="88" spans="1:37">
      <c r="C88" s="413" t="s">
        <v>1161</v>
      </c>
      <c r="D88" s="413"/>
      <c r="E88" s="450" t="s">
        <v>1162</v>
      </c>
    </row>
    <row r="89" spans="1:37">
      <c r="D89" s="413"/>
    </row>
    <row r="90" spans="1:37" ht="15.75">
      <c r="C90" s="434"/>
      <c r="D90" s="413"/>
      <c r="AK90" s="412">
        <f>((O57/100+S57/100)*(T16/366)*(U208))+(((O57/100+S57/100)*(T16/366)*(U208))*(U209))</f>
        <v>0</v>
      </c>
    </row>
    <row r="91" spans="1:37">
      <c r="D91" s="413"/>
      <c r="E91" s="450"/>
    </row>
    <row r="92" spans="1:37">
      <c r="A92" s="442"/>
      <c r="C92" s="114"/>
      <c r="D92" s="413"/>
    </row>
    <row r="93" spans="1:37">
      <c r="C93" s="104"/>
      <c r="D93" s="413"/>
    </row>
    <row r="94" spans="1:37">
      <c r="C94" s="106"/>
      <c r="D94" s="413"/>
    </row>
    <row r="95" spans="1:37">
      <c r="C95"/>
      <c r="D95" s="413"/>
    </row>
    <row r="96" spans="1:37">
      <c r="C96" s="104"/>
      <c r="D96" s="413"/>
    </row>
    <row r="97" spans="3:4">
      <c r="C97" s="107"/>
      <c r="D97" s="413"/>
    </row>
    <row r="98" spans="3:4">
      <c r="C98" s="105"/>
      <c r="D98" s="413"/>
    </row>
    <row r="99" spans="3:4">
      <c r="C99" s="105"/>
      <c r="D99" s="413"/>
    </row>
    <row r="100" spans="3:4" ht="17.25" customHeight="1">
      <c r="C100" s="107"/>
      <c r="D100" s="413"/>
    </row>
    <row r="101" spans="3:4" ht="17.25" customHeight="1">
      <c r="C101" s="105"/>
      <c r="D101" s="413"/>
    </row>
    <row r="102" spans="3:4" ht="17.25" customHeight="1">
      <c r="C102"/>
      <c r="D102" s="413"/>
    </row>
    <row r="103" spans="3:4" ht="17.25" customHeight="1">
      <c r="C103" s="106"/>
      <c r="D103" s="413"/>
    </row>
    <row r="104" spans="3:4" ht="17.25" customHeight="1">
      <c r="C104"/>
      <c r="D104" s="413"/>
    </row>
    <row r="105" spans="3:4" ht="17.25" customHeight="1">
      <c r="D105" s="413"/>
    </row>
    <row r="106" spans="3:4" ht="17.25" customHeight="1">
      <c r="D106" s="413"/>
    </row>
    <row r="107" spans="3:4" ht="17.25" customHeight="1">
      <c r="D107" s="413"/>
    </row>
    <row r="108" spans="3:4" ht="17.25" customHeight="1">
      <c r="D108" s="413"/>
    </row>
    <row r="109" spans="3:4" ht="17.25" customHeight="1">
      <c r="D109" s="413"/>
    </row>
    <row r="110" spans="3:4" ht="17.25" customHeight="1">
      <c r="D110" s="413"/>
    </row>
    <row r="111" spans="3:4" ht="17.25" customHeight="1">
      <c r="D111" s="413"/>
    </row>
    <row r="112" spans="3:4" ht="17.25" customHeight="1">
      <c r="D112" s="413"/>
    </row>
    <row r="113" spans="3:4" ht="17.25" customHeight="1">
      <c r="D113" s="413"/>
    </row>
    <row r="114" spans="3:4" ht="17.25" customHeight="1">
      <c r="D114" s="413"/>
    </row>
    <row r="115" spans="3:4" ht="17.25" customHeight="1">
      <c r="D115" s="413"/>
    </row>
    <row r="116" spans="3:4" ht="17.25" customHeight="1">
      <c r="D116" s="413"/>
    </row>
    <row r="117" spans="3:4" ht="17.25" customHeight="1"/>
    <row r="118" spans="3:4" ht="17.25" customHeight="1"/>
    <row r="119" spans="3:4" ht="17.25" customHeight="1">
      <c r="C119" s="412"/>
    </row>
    <row r="120" spans="3:4" ht="17.25" customHeight="1">
      <c r="C120" s="412"/>
    </row>
    <row r="121" spans="3:4" ht="17.25" customHeight="1">
      <c r="C121" s="412"/>
    </row>
    <row r="122" spans="3:4" ht="17.25" customHeight="1">
      <c r="C122" s="412"/>
    </row>
    <row r="123" spans="3:4" ht="17.25" customHeight="1">
      <c r="C123" s="412"/>
    </row>
    <row r="124" spans="3:4" ht="17.25" customHeight="1">
      <c r="C124" s="412"/>
    </row>
    <row r="125" spans="3:4" ht="17.25" customHeight="1">
      <c r="C125" s="412"/>
    </row>
    <row r="126" spans="3:4" ht="17.25" customHeight="1">
      <c r="C126" s="412"/>
    </row>
    <row r="127" spans="3:4" ht="17.25" customHeight="1">
      <c r="C127" s="412"/>
    </row>
    <row r="128" spans="3:4" ht="17.25" customHeight="1">
      <c r="C128" s="412"/>
    </row>
    <row r="129" spans="3:3" ht="17.25" customHeight="1">
      <c r="C129" s="412"/>
    </row>
    <row r="130" spans="3:3" ht="17.25" customHeight="1">
      <c r="C130" s="412"/>
    </row>
    <row r="131" spans="3:3" ht="17.25" customHeight="1">
      <c r="C131" s="412"/>
    </row>
    <row r="132" spans="3:3" ht="17.25" customHeight="1">
      <c r="C132" s="412"/>
    </row>
    <row r="133" spans="3:3" ht="17.25" customHeight="1">
      <c r="C133" s="412"/>
    </row>
    <row r="134" spans="3:3" ht="17.25" customHeight="1">
      <c r="C134" s="412"/>
    </row>
    <row r="135" spans="3:3" ht="17.25" customHeight="1">
      <c r="C135" s="412"/>
    </row>
    <row r="136" spans="3:3" ht="17.25" customHeight="1">
      <c r="C136" s="412"/>
    </row>
    <row r="137" spans="3:3" ht="17.25" customHeight="1">
      <c r="C137" s="412"/>
    </row>
    <row r="138" spans="3:3" ht="17.25" customHeight="1">
      <c r="C138" s="412"/>
    </row>
    <row r="139" spans="3:3" ht="17.25" customHeight="1">
      <c r="C139" s="412"/>
    </row>
    <row r="140" spans="3:3" ht="17.25" customHeight="1">
      <c r="C140" s="412"/>
    </row>
    <row r="141" spans="3:3" ht="17.25" customHeight="1">
      <c r="C141" s="412"/>
    </row>
    <row r="142" spans="3:3" ht="17.25" customHeight="1">
      <c r="C142" s="412"/>
    </row>
  </sheetData>
  <dataConsolidate/>
  <mergeCells count="1">
    <mergeCell ref="C19:E19"/>
  </mergeCells>
  <dataValidations count="1">
    <dataValidation type="list" allowBlank="1" showErrorMessage="1" promptTitle="Drop Down Box" sqref="C8" xr:uid="{00000000-0002-0000-0B00-000000000000}">
      <formula1>Project_Type</formula1>
    </dataValidation>
  </dataValidations>
  <pageMargins left="0.7" right="0.7" top="0.75" bottom="0.75" header="0.3" footer="0.3"/>
  <pageSetup scale="71" orientation="portrait" r:id="rId1"/>
  <rowBreaks count="1" manualBreakCount="1">
    <brk id="86" max="4" man="1"/>
  </rowBreaks>
  <colBreaks count="1" manualBreakCount="1">
    <brk id="5" max="38" man="1"/>
  </col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FF00"/>
  </sheetPr>
  <dimension ref="A10:AR89"/>
  <sheetViews>
    <sheetView workbookViewId="0">
      <selection activeCell="B13" sqref="B13:F13"/>
    </sheetView>
  </sheetViews>
  <sheetFormatPr defaultRowHeight="12.75"/>
  <cols>
    <col min="1" max="1" width="2.5" style="308" customWidth="1"/>
    <col min="2" max="2" width="10.83203125" style="308" customWidth="1"/>
    <col min="3" max="4" width="5.83203125" style="308" customWidth="1"/>
    <col min="5" max="5" width="11.5" style="308" customWidth="1"/>
    <col min="6" max="6" width="13.1640625" style="308" customWidth="1"/>
    <col min="7" max="7" width="11.5" style="308" customWidth="1"/>
    <col min="8" max="11" width="9.33203125" style="308" customWidth="1"/>
    <col min="12" max="12" width="12.83203125" style="308" customWidth="1"/>
    <col min="13" max="13" width="9.33203125" style="308" customWidth="1"/>
    <col min="14" max="14" width="12.83203125" style="308" customWidth="1"/>
    <col min="15" max="15" width="9.33203125" style="308" customWidth="1"/>
    <col min="16" max="17" width="10.83203125" style="308" customWidth="1"/>
    <col min="18" max="18" width="13" style="308" customWidth="1"/>
    <col min="19" max="16384" width="9.33203125" style="308"/>
  </cols>
  <sheetData>
    <row r="10" spans="1:44" ht="17.100000000000001" customHeight="1">
      <c r="A10" s="316"/>
      <c r="B10" s="1337" t="s">
        <v>213</v>
      </c>
      <c r="C10" s="1338"/>
      <c r="D10" s="1338"/>
      <c r="E10" s="1338"/>
      <c r="F10" s="1338"/>
      <c r="G10" s="1338"/>
      <c r="H10" s="1338"/>
      <c r="I10" s="1338"/>
      <c r="J10" s="1338"/>
      <c r="K10" s="1338"/>
      <c r="L10" s="1338"/>
      <c r="M10" s="1339" t="s">
        <v>214</v>
      </c>
      <c r="N10" s="1340"/>
      <c r="O10" s="1339" t="s">
        <v>215</v>
      </c>
      <c r="P10" s="1343"/>
      <c r="Q10" s="1340"/>
      <c r="R10" s="529" t="s">
        <v>216</v>
      </c>
      <c r="V10" s="314"/>
      <c r="W10" s="314"/>
      <c r="X10" s="314"/>
      <c r="Y10" s="314"/>
      <c r="AC10" s="314"/>
      <c r="AD10" s="314"/>
      <c r="AE10" s="314"/>
      <c r="AF10" s="314"/>
      <c r="AG10" s="314"/>
      <c r="AH10" s="314"/>
      <c r="AI10" s="314"/>
      <c r="AJ10" s="314"/>
      <c r="AK10" s="314"/>
      <c r="AL10" s="314"/>
      <c r="AM10" s="314"/>
      <c r="AN10" s="314"/>
      <c r="AO10" s="314"/>
      <c r="AP10" s="314"/>
      <c r="AQ10" s="314"/>
      <c r="AR10" s="314"/>
    </row>
    <row r="11" spans="1:44" s="5" customFormat="1" ht="16.5" customHeight="1">
      <c r="A11" s="169"/>
      <c r="B11" s="521"/>
      <c r="C11" s="522"/>
      <c r="D11" s="1287"/>
      <c r="E11" s="522"/>
      <c r="F11" s="1287"/>
      <c r="G11" s="1287"/>
      <c r="H11" s="1287"/>
      <c r="I11" s="1287"/>
      <c r="J11" s="549" t="s">
        <v>217</v>
      </c>
      <c r="K11" s="1287"/>
      <c r="L11" s="523"/>
      <c r="M11" s="1341" t="s">
        <v>218</v>
      </c>
      <c r="N11" s="1342"/>
      <c r="O11" s="1344" t="s">
        <v>218</v>
      </c>
      <c r="P11" s="1345"/>
      <c r="Q11" s="1346"/>
      <c r="R11" s="530" t="s">
        <v>219</v>
      </c>
      <c r="V11" s="12"/>
      <c r="W11" s="12"/>
      <c r="X11" s="12"/>
      <c r="Y11" s="12"/>
      <c r="AC11" s="12"/>
      <c r="AD11" s="12"/>
      <c r="AE11" s="12"/>
      <c r="AF11" s="12"/>
      <c r="AG11" s="12"/>
      <c r="AH11" s="12"/>
      <c r="AI11" s="12"/>
      <c r="AJ11" s="12"/>
      <c r="AK11" s="12"/>
      <c r="AL11" s="12"/>
      <c r="AM11" s="12"/>
      <c r="AN11" s="12"/>
      <c r="AO11" s="12"/>
      <c r="AP11" s="12"/>
      <c r="AQ11" s="12"/>
      <c r="AR11" s="12"/>
    </row>
    <row r="12" spans="1:44" s="5" customFormat="1" ht="12" customHeight="1">
      <c r="A12" s="101"/>
      <c r="B12" s="515" t="s">
        <v>220</v>
      </c>
      <c r="C12" s="21"/>
      <c r="D12" s="1197"/>
      <c r="E12" s="21"/>
      <c r="F12" s="21"/>
      <c r="G12" s="1197" t="s">
        <v>221</v>
      </c>
      <c r="H12" s="1197" t="s">
        <v>222</v>
      </c>
      <c r="I12" s="1197" t="s">
        <v>223</v>
      </c>
      <c r="J12" s="547" t="s">
        <v>224</v>
      </c>
      <c r="K12" s="1197" t="s">
        <v>225</v>
      </c>
      <c r="L12" s="1197" t="s">
        <v>226</v>
      </c>
      <c r="M12" s="516" t="s">
        <v>227</v>
      </c>
      <c r="N12" s="517" t="s">
        <v>70</v>
      </c>
      <c r="O12" s="518" t="s">
        <v>228</v>
      </c>
      <c r="P12" s="520" t="s">
        <v>229</v>
      </c>
      <c r="Q12" s="519" t="s">
        <v>70</v>
      </c>
      <c r="R12" s="531" t="s">
        <v>230</v>
      </c>
      <c r="V12" s="12"/>
      <c r="W12" s="12"/>
      <c r="X12" s="12"/>
      <c r="Y12" s="12"/>
      <c r="AC12" s="12"/>
      <c r="AD12" s="12"/>
      <c r="AE12" s="12"/>
      <c r="AF12" s="12"/>
      <c r="AG12" s="12"/>
      <c r="AH12" s="12"/>
      <c r="AI12" s="12"/>
      <c r="AJ12" s="12"/>
      <c r="AK12" s="12"/>
      <c r="AL12" s="12"/>
      <c r="AM12" s="12"/>
      <c r="AN12" s="12"/>
      <c r="AO12" s="12"/>
      <c r="AP12" s="12"/>
      <c r="AQ12" s="12"/>
      <c r="AR12" s="12"/>
    </row>
    <row r="13" spans="1:44" s="5" customFormat="1" ht="12" customHeight="1">
      <c r="A13" s="500"/>
      <c r="B13" s="1331" t="s">
        <v>231</v>
      </c>
      <c r="C13" s="1332"/>
      <c r="D13" s="1332"/>
      <c r="E13" s="1332"/>
      <c r="F13" s="1332"/>
      <c r="G13" s="554">
        <v>0</v>
      </c>
      <c r="H13" s="499">
        <f t="shared" ref="H13:H18" si="0">VLOOKUP(B13,SPACE_TYPE_DATA,8)</f>
        <v>0</v>
      </c>
      <c r="I13" s="72">
        <f t="shared" ref="I13:I18" si="1">IF(H13=0,0,+G13/H13)</f>
        <v>0</v>
      </c>
      <c r="J13" s="548">
        <v>1</v>
      </c>
      <c r="K13" s="28">
        <f t="shared" ref="K13:K18" si="2">VLOOKUP(B13,SPACE_TYPE_DATA,3)</f>
        <v>0</v>
      </c>
      <c r="L13" s="72">
        <f>+I13*J13*K13</f>
        <v>0</v>
      </c>
      <c r="M13" s="510">
        <f t="shared" ref="M13:M18" si="3">VLOOKUP(B13,SPACE_TYPE_DATA,6)</f>
        <v>0</v>
      </c>
      <c r="N13" s="64">
        <f t="shared" ref="N13:N18" si="4">+L13*M13</f>
        <v>0</v>
      </c>
      <c r="O13" s="509">
        <f t="shared" ref="O13:O18" si="5">VLOOKUP(B13,SPACE_TYPE_DATA,7)</f>
        <v>0</v>
      </c>
      <c r="P13" s="548">
        <v>1</v>
      </c>
      <c r="Q13" s="64">
        <f t="shared" ref="Q13:Q18" si="6">+O13*P13*G13</f>
        <v>0</v>
      </c>
      <c r="R13" s="527" t="str">
        <f t="shared" ref="R13:R22" si="7">IF($B13="SELECT SPACE TYPE","-",IF($B13="[ INSERT SPACE TYPE (NON-CAPACITY) ]","-",VLOOKUP(B13,SPACE_TYPE_DATA,4)))</f>
        <v>-</v>
      </c>
      <c r="V13" s="12"/>
      <c r="W13" s="12"/>
      <c r="X13" s="12"/>
      <c r="Y13" s="12"/>
      <c r="AC13" s="12"/>
      <c r="AD13" s="12"/>
      <c r="AE13" s="12"/>
      <c r="AF13" s="12"/>
      <c r="AG13" s="12"/>
      <c r="AH13" s="12"/>
      <c r="AI13" s="12"/>
      <c r="AJ13" s="12"/>
      <c r="AK13" s="12"/>
      <c r="AL13" s="12"/>
      <c r="AM13" s="12"/>
      <c r="AN13" s="12"/>
      <c r="AO13" s="12"/>
      <c r="AP13" s="12"/>
      <c r="AQ13" s="12"/>
      <c r="AR13" s="12"/>
    </row>
    <row r="14" spans="1:44" s="5" customFormat="1" ht="12" customHeight="1">
      <c r="A14" s="33"/>
      <c r="B14" s="1331" t="s">
        <v>231</v>
      </c>
      <c r="C14" s="1332"/>
      <c r="D14" s="1332"/>
      <c r="E14" s="1332"/>
      <c r="F14" s="1332"/>
      <c r="G14" s="554">
        <v>0</v>
      </c>
      <c r="H14" s="499">
        <f t="shared" si="0"/>
        <v>0</v>
      </c>
      <c r="I14" s="72">
        <f t="shared" si="1"/>
        <v>0</v>
      </c>
      <c r="J14" s="548">
        <v>1</v>
      </c>
      <c r="K14" s="28">
        <f t="shared" si="2"/>
        <v>0</v>
      </c>
      <c r="L14" s="72">
        <f t="shared" ref="L14:L22" si="8">+I14*J14*K14</f>
        <v>0</v>
      </c>
      <c r="M14" s="510">
        <f t="shared" si="3"/>
        <v>0</v>
      </c>
      <c r="N14" s="64">
        <f t="shared" si="4"/>
        <v>0</v>
      </c>
      <c r="O14" s="509">
        <f t="shared" si="5"/>
        <v>0</v>
      </c>
      <c r="P14" s="548">
        <v>1</v>
      </c>
      <c r="Q14" s="64">
        <f t="shared" si="6"/>
        <v>0</v>
      </c>
      <c r="R14" s="527" t="str">
        <f t="shared" si="7"/>
        <v>-</v>
      </c>
      <c r="V14" s="12"/>
      <c r="W14" s="12"/>
      <c r="X14" s="12"/>
      <c r="Y14" s="12"/>
      <c r="AC14" s="12"/>
      <c r="AD14" s="12"/>
      <c r="AE14" s="12"/>
      <c r="AF14" s="12"/>
      <c r="AG14" s="12"/>
      <c r="AH14" s="12"/>
      <c r="AI14" s="12"/>
      <c r="AJ14" s="12"/>
      <c r="AK14" s="12"/>
      <c r="AL14" s="12"/>
      <c r="AM14" s="12"/>
      <c r="AN14" s="12"/>
      <c r="AO14" s="12"/>
      <c r="AP14" s="12"/>
      <c r="AQ14" s="12"/>
      <c r="AR14" s="12"/>
    </row>
    <row r="15" spans="1:44" s="5" customFormat="1" ht="12" customHeight="1">
      <c r="A15" s="33"/>
      <c r="B15" s="1331" t="s">
        <v>231</v>
      </c>
      <c r="C15" s="1332"/>
      <c r="D15" s="1332"/>
      <c r="E15" s="1332"/>
      <c r="F15" s="1332"/>
      <c r="G15" s="554">
        <v>0</v>
      </c>
      <c r="H15" s="499">
        <f t="shared" si="0"/>
        <v>0</v>
      </c>
      <c r="I15" s="72">
        <f t="shared" si="1"/>
        <v>0</v>
      </c>
      <c r="J15" s="548">
        <v>1</v>
      </c>
      <c r="K15" s="28">
        <f t="shared" si="2"/>
        <v>0</v>
      </c>
      <c r="L15" s="72">
        <f t="shared" si="8"/>
        <v>0</v>
      </c>
      <c r="M15" s="510">
        <f t="shared" si="3"/>
        <v>0</v>
      </c>
      <c r="N15" s="64">
        <f t="shared" si="4"/>
        <v>0</v>
      </c>
      <c r="O15" s="509">
        <f t="shared" si="5"/>
        <v>0</v>
      </c>
      <c r="P15" s="548">
        <v>1</v>
      </c>
      <c r="Q15" s="64">
        <f t="shared" si="6"/>
        <v>0</v>
      </c>
      <c r="R15" s="527" t="str">
        <f t="shared" si="7"/>
        <v>-</v>
      </c>
      <c r="V15" s="12"/>
      <c r="W15" s="12"/>
      <c r="X15" s="12"/>
      <c r="Y15" s="12"/>
      <c r="AC15" s="12"/>
      <c r="AD15" s="12"/>
      <c r="AE15" s="12"/>
      <c r="AF15" s="12"/>
      <c r="AG15" s="12"/>
      <c r="AH15" s="12"/>
      <c r="AI15" s="12"/>
      <c r="AJ15" s="12"/>
      <c r="AK15" s="12"/>
      <c r="AL15" s="12"/>
      <c r="AM15" s="12"/>
      <c r="AN15" s="12"/>
      <c r="AO15" s="12"/>
      <c r="AP15" s="12"/>
      <c r="AQ15" s="12"/>
      <c r="AR15" s="12"/>
    </row>
    <row r="16" spans="1:44" s="5" customFormat="1" ht="12" customHeight="1">
      <c r="A16" s="33"/>
      <c r="B16" s="1331" t="s">
        <v>231</v>
      </c>
      <c r="C16" s="1332"/>
      <c r="D16" s="1332"/>
      <c r="E16" s="1332"/>
      <c r="F16" s="1332"/>
      <c r="G16" s="554">
        <v>0</v>
      </c>
      <c r="H16" s="499">
        <f t="shared" si="0"/>
        <v>0</v>
      </c>
      <c r="I16" s="72">
        <f t="shared" si="1"/>
        <v>0</v>
      </c>
      <c r="J16" s="548">
        <v>1</v>
      </c>
      <c r="K16" s="28">
        <f t="shared" si="2"/>
        <v>0</v>
      </c>
      <c r="L16" s="72">
        <f t="shared" si="8"/>
        <v>0</v>
      </c>
      <c r="M16" s="510">
        <f t="shared" si="3"/>
        <v>0</v>
      </c>
      <c r="N16" s="64">
        <f t="shared" si="4"/>
        <v>0</v>
      </c>
      <c r="O16" s="509">
        <f t="shared" si="5"/>
        <v>0</v>
      </c>
      <c r="P16" s="548">
        <v>1</v>
      </c>
      <c r="Q16" s="64">
        <f t="shared" si="6"/>
        <v>0</v>
      </c>
      <c r="R16" s="527" t="str">
        <f t="shared" si="7"/>
        <v>-</v>
      </c>
      <c r="V16" s="12"/>
      <c r="W16" s="12"/>
      <c r="X16" s="12"/>
      <c r="Y16" s="12"/>
      <c r="AC16" s="12"/>
      <c r="AD16" s="12"/>
      <c r="AE16" s="12"/>
      <c r="AF16" s="12"/>
      <c r="AG16" s="12"/>
      <c r="AH16" s="12"/>
      <c r="AI16" s="12"/>
      <c r="AJ16" s="12"/>
      <c r="AK16" s="12"/>
      <c r="AL16" s="12"/>
      <c r="AM16" s="12"/>
      <c r="AN16" s="12"/>
      <c r="AO16" s="12"/>
      <c r="AP16" s="12"/>
      <c r="AQ16" s="12"/>
      <c r="AR16" s="12"/>
    </row>
    <row r="17" spans="1:44" s="5" customFormat="1" ht="12" customHeight="1">
      <c r="A17" s="33"/>
      <c r="B17" s="1331" t="s">
        <v>231</v>
      </c>
      <c r="C17" s="1332"/>
      <c r="D17" s="1332"/>
      <c r="E17" s="1332"/>
      <c r="F17" s="1332"/>
      <c r="G17" s="554">
        <v>0</v>
      </c>
      <c r="H17" s="499">
        <f t="shared" si="0"/>
        <v>0</v>
      </c>
      <c r="I17" s="72">
        <f t="shared" si="1"/>
        <v>0</v>
      </c>
      <c r="J17" s="548">
        <v>1</v>
      </c>
      <c r="K17" s="28">
        <f t="shared" si="2"/>
        <v>0</v>
      </c>
      <c r="L17" s="72">
        <f t="shared" si="8"/>
        <v>0</v>
      </c>
      <c r="M17" s="510">
        <f t="shared" si="3"/>
        <v>0</v>
      </c>
      <c r="N17" s="64">
        <f t="shared" si="4"/>
        <v>0</v>
      </c>
      <c r="O17" s="509">
        <f t="shared" si="5"/>
        <v>0</v>
      </c>
      <c r="P17" s="548">
        <v>1</v>
      </c>
      <c r="Q17" s="64">
        <f t="shared" si="6"/>
        <v>0</v>
      </c>
      <c r="R17" s="527" t="str">
        <f t="shared" si="7"/>
        <v>-</v>
      </c>
      <c r="V17" s="12"/>
      <c r="W17" s="12"/>
      <c r="X17" s="12"/>
      <c r="Y17" s="12"/>
      <c r="AC17" s="12"/>
      <c r="AD17" s="12"/>
      <c r="AE17" s="12"/>
      <c r="AF17" s="12"/>
      <c r="AG17" s="12"/>
      <c r="AH17" s="12"/>
      <c r="AI17" s="12"/>
      <c r="AJ17" s="12"/>
      <c r="AK17" s="12"/>
      <c r="AL17" s="12"/>
      <c r="AM17" s="12"/>
      <c r="AN17" s="12"/>
      <c r="AO17" s="12"/>
      <c r="AP17" s="12"/>
      <c r="AQ17" s="12"/>
      <c r="AR17" s="12"/>
    </row>
    <row r="18" spans="1:44" s="5" customFormat="1" ht="12" customHeight="1">
      <c r="A18" s="33"/>
      <c r="B18" s="1331" t="s">
        <v>231</v>
      </c>
      <c r="C18" s="1332"/>
      <c r="D18" s="1332"/>
      <c r="E18" s="1332"/>
      <c r="F18" s="1332"/>
      <c r="G18" s="554">
        <v>0</v>
      </c>
      <c r="H18" s="499">
        <f t="shared" si="0"/>
        <v>0</v>
      </c>
      <c r="I18" s="72">
        <f t="shared" si="1"/>
        <v>0</v>
      </c>
      <c r="J18" s="548">
        <v>1</v>
      </c>
      <c r="K18" s="28">
        <f t="shared" si="2"/>
        <v>0</v>
      </c>
      <c r="L18" s="72">
        <f t="shared" si="8"/>
        <v>0</v>
      </c>
      <c r="M18" s="510">
        <f t="shared" si="3"/>
        <v>0</v>
      </c>
      <c r="N18" s="64">
        <f t="shared" si="4"/>
        <v>0</v>
      </c>
      <c r="O18" s="509">
        <f t="shared" si="5"/>
        <v>0</v>
      </c>
      <c r="P18" s="548">
        <v>1</v>
      </c>
      <c r="Q18" s="64">
        <f t="shared" si="6"/>
        <v>0</v>
      </c>
      <c r="R18" s="527" t="str">
        <f t="shared" si="7"/>
        <v>-</v>
      </c>
      <c r="V18" s="12"/>
      <c r="W18" s="12"/>
      <c r="X18" s="12"/>
      <c r="Y18" s="12"/>
      <c r="AC18" s="12"/>
      <c r="AD18" s="12"/>
      <c r="AE18" s="12"/>
      <c r="AF18" s="12"/>
      <c r="AG18" s="12"/>
      <c r="AH18" s="12"/>
      <c r="AI18" s="12"/>
      <c r="AJ18" s="12"/>
      <c r="AK18" s="12"/>
      <c r="AL18" s="12"/>
      <c r="AM18" s="12"/>
      <c r="AN18" s="12"/>
      <c r="AO18" s="12"/>
      <c r="AP18" s="12"/>
      <c r="AQ18" s="12"/>
      <c r="AR18" s="12"/>
    </row>
    <row r="19" spans="1:44" s="5" customFormat="1" ht="12" customHeight="1">
      <c r="A19" s="33"/>
      <c r="B19" s="512" t="s">
        <v>232</v>
      </c>
      <c r="C19" s="12"/>
      <c r="D19" s="12"/>
      <c r="E19" s="12"/>
      <c r="F19" s="12"/>
      <c r="G19" s="554">
        <v>0</v>
      </c>
      <c r="H19" s="499" t="e">
        <f>G19/I19</f>
        <v>#DIV/0!</v>
      </c>
      <c r="I19" s="554">
        <v>0</v>
      </c>
      <c r="J19" s="548">
        <v>1</v>
      </c>
      <c r="K19" s="469">
        <v>0</v>
      </c>
      <c r="L19" s="72">
        <f t="shared" si="8"/>
        <v>0</v>
      </c>
      <c r="M19" s="510" t="e">
        <f>N19/L19</f>
        <v>#DIV/0!</v>
      </c>
      <c r="N19" s="513">
        <v>0</v>
      </c>
      <c r="O19" s="509" t="e">
        <f>Q19/G19</f>
        <v>#DIV/0!</v>
      </c>
      <c r="P19" s="548">
        <v>1</v>
      </c>
      <c r="Q19" s="513">
        <v>0</v>
      </c>
      <c r="R19" s="527" t="str">
        <f t="shared" si="7"/>
        <v>-</v>
      </c>
      <c r="V19" s="12"/>
      <c r="W19" s="12"/>
      <c r="X19" s="12"/>
      <c r="Y19" s="12"/>
      <c r="AC19" s="12"/>
      <c r="AD19" s="12"/>
      <c r="AE19" s="12"/>
      <c r="AF19" s="12"/>
      <c r="AG19" s="12"/>
      <c r="AH19" s="12"/>
      <c r="AI19" s="12"/>
      <c r="AJ19" s="12"/>
      <c r="AK19" s="12"/>
      <c r="AL19" s="12"/>
      <c r="AM19" s="12"/>
      <c r="AN19" s="12"/>
      <c r="AO19" s="12"/>
      <c r="AP19" s="12"/>
      <c r="AQ19" s="12"/>
      <c r="AR19" s="12"/>
    </row>
    <row r="20" spans="1:44" s="5" customFormat="1" ht="12" customHeight="1">
      <c r="A20" s="33"/>
      <c r="B20" s="512" t="s">
        <v>232</v>
      </c>
      <c r="C20" s="12"/>
      <c r="D20" s="12"/>
      <c r="E20" s="12"/>
      <c r="F20" s="12"/>
      <c r="G20" s="554">
        <v>0</v>
      </c>
      <c r="H20" s="499" t="e">
        <f>G20/I20</f>
        <v>#DIV/0!</v>
      </c>
      <c r="I20" s="554">
        <v>0</v>
      </c>
      <c r="J20" s="548">
        <v>1</v>
      </c>
      <c r="K20" s="469">
        <v>0</v>
      </c>
      <c r="L20" s="72">
        <f t="shared" si="8"/>
        <v>0</v>
      </c>
      <c r="M20" s="510" t="e">
        <f>N20/L20</f>
        <v>#DIV/0!</v>
      </c>
      <c r="N20" s="513">
        <v>0</v>
      </c>
      <c r="O20" s="509" t="e">
        <f>Q20/G20</f>
        <v>#DIV/0!</v>
      </c>
      <c r="P20" s="548">
        <v>1</v>
      </c>
      <c r="Q20" s="513">
        <v>0</v>
      </c>
      <c r="R20" s="527" t="str">
        <f t="shared" si="7"/>
        <v>-</v>
      </c>
      <c r="V20" s="12"/>
      <c r="W20" s="12"/>
      <c r="X20" s="12"/>
      <c r="Y20" s="12"/>
      <c r="AC20" s="12"/>
      <c r="AD20" s="12"/>
      <c r="AE20" s="12"/>
      <c r="AF20" s="12"/>
      <c r="AG20" s="12"/>
      <c r="AH20" s="12"/>
      <c r="AI20" s="12"/>
      <c r="AJ20" s="12"/>
      <c r="AK20" s="12"/>
      <c r="AL20" s="12"/>
      <c r="AM20" s="12"/>
      <c r="AN20" s="12"/>
      <c r="AO20" s="12"/>
      <c r="AP20" s="12"/>
      <c r="AQ20" s="12"/>
      <c r="AR20" s="12"/>
    </row>
    <row r="21" spans="1:44" s="5" customFormat="1" ht="12" customHeight="1">
      <c r="A21" s="33"/>
      <c r="B21" s="512" t="s">
        <v>232</v>
      </c>
      <c r="C21" s="12"/>
      <c r="D21" s="12"/>
      <c r="E21" s="12"/>
      <c r="F21" s="12"/>
      <c r="G21" s="554">
        <v>0</v>
      </c>
      <c r="H21" s="499" t="e">
        <f>G21/I21</f>
        <v>#DIV/0!</v>
      </c>
      <c r="I21" s="554">
        <v>0</v>
      </c>
      <c r="J21" s="548">
        <v>1</v>
      </c>
      <c r="K21" s="469">
        <v>0</v>
      </c>
      <c r="L21" s="72">
        <f t="shared" si="8"/>
        <v>0</v>
      </c>
      <c r="M21" s="510" t="e">
        <f>N21/L21</f>
        <v>#DIV/0!</v>
      </c>
      <c r="N21" s="513">
        <v>0</v>
      </c>
      <c r="O21" s="509" t="e">
        <f>Q21/G21</f>
        <v>#DIV/0!</v>
      </c>
      <c r="P21" s="548">
        <v>1</v>
      </c>
      <c r="Q21" s="513">
        <v>0</v>
      </c>
      <c r="R21" s="527" t="str">
        <f t="shared" si="7"/>
        <v>-</v>
      </c>
      <c r="V21" s="12"/>
      <c r="W21" s="12"/>
      <c r="X21" s="12"/>
      <c r="Y21" s="12"/>
      <c r="AC21" s="12"/>
      <c r="AD21" s="12"/>
      <c r="AE21" s="12"/>
      <c r="AF21" s="12"/>
      <c r="AG21" s="12"/>
      <c r="AH21" s="12"/>
      <c r="AI21" s="12"/>
      <c r="AJ21" s="12"/>
      <c r="AK21" s="12"/>
      <c r="AL21" s="12"/>
      <c r="AM21" s="12"/>
      <c r="AN21" s="12"/>
      <c r="AO21" s="12"/>
      <c r="AP21" s="12"/>
      <c r="AQ21" s="12"/>
      <c r="AR21" s="12"/>
    </row>
    <row r="22" spans="1:44" s="5" customFormat="1" ht="12" customHeight="1">
      <c r="A22" s="33"/>
      <c r="B22" s="512" t="s">
        <v>232</v>
      </c>
      <c r="C22" s="12"/>
      <c r="D22" s="12"/>
      <c r="E22" s="12"/>
      <c r="F22" s="12"/>
      <c r="G22" s="554">
        <v>0</v>
      </c>
      <c r="H22" s="499" t="e">
        <f>G22/I22</f>
        <v>#DIV/0!</v>
      </c>
      <c r="I22" s="554">
        <v>0</v>
      </c>
      <c r="J22" s="548">
        <v>1</v>
      </c>
      <c r="K22" s="469">
        <v>0</v>
      </c>
      <c r="L22" s="72">
        <f t="shared" si="8"/>
        <v>0</v>
      </c>
      <c r="M22" s="510" t="e">
        <f>N22/L22</f>
        <v>#DIV/0!</v>
      </c>
      <c r="N22" s="513">
        <v>0</v>
      </c>
      <c r="O22" s="509" t="e">
        <f>Q22/G22</f>
        <v>#DIV/0!</v>
      </c>
      <c r="P22" s="548">
        <v>1</v>
      </c>
      <c r="Q22" s="513">
        <v>0</v>
      </c>
      <c r="R22" s="527" t="str">
        <f t="shared" si="7"/>
        <v>-</v>
      </c>
      <c r="V22" s="12"/>
      <c r="W22" s="12"/>
      <c r="X22" s="12"/>
      <c r="Y22" s="12"/>
      <c r="AC22" s="12"/>
      <c r="AD22" s="12"/>
      <c r="AE22" s="12"/>
      <c r="AF22" s="12"/>
      <c r="AG22" s="12"/>
      <c r="AH22" s="12"/>
      <c r="AI22" s="12"/>
      <c r="AJ22" s="12"/>
      <c r="AK22" s="12"/>
      <c r="AL22" s="12"/>
      <c r="AM22" s="12"/>
      <c r="AN22" s="12"/>
      <c r="AO22" s="12"/>
      <c r="AP22" s="12"/>
      <c r="AQ22" s="12"/>
      <c r="AR22" s="12"/>
    </row>
    <row r="23" spans="1:44" s="5" customFormat="1" ht="12" customHeight="1">
      <c r="A23" s="101"/>
      <c r="B23" s="634" t="s">
        <v>233</v>
      </c>
      <c r="C23" s="3"/>
      <c r="D23" s="4"/>
      <c r="E23" s="3"/>
      <c r="F23" s="4" t="s">
        <v>234</v>
      </c>
      <c r="G23" s="4" t="s">
        <v>221</v>
      </c>
      <c r="H23" s="4" t="s">
        <v>222</v>
      </c>
      <c r="I23" s="4" t="s">
        <v>223</v>
      </c>
      <c r="J23" s="635"/>
      <c r="K23" s="4" t="s">
        <v>235</v>
      </c>
      <c r="L23" s="4" t="s">
        <v>226</v>
      </c>
      <c r="M23" s="636" t="s">
        <v>227</v>
      </c>
      <c r="N23" s="637" t="s">
        <v>70</v>
      </c>
      <c r="O23" s="638" t="s">
        <v>228</v>
      </c>
      <c r="P23" s="639" t="s">
        <v>229</v>
      </c>
      <c r="Q23" s="640" t="s">
        <v>70</v>
      </c>
      <c r="R23" s="641" t="s">
        <v>230</v>
      </c>
      <c r="V23" s="12"/>
      <c r="W23" s="12"/>
      <c r="X23" s="12"/>
      <c r="Y23" s="12"/>
      <c r="AC23" s="12"/>
      <c r="AD23" s="12"/>
      <c r="AE23" s="12"/>
      <c r="AF23" s="12"/>
      <c r="AG23" s="12"/>
      <c r="AH23" s="12"/>
      <c r="AI23" s="12"/>
      <c r="AJ23" s="12"/>
      <c r="AK23" s="12"/>
      <c r="AL23" s="12"/>
      <c r="AM23" s="12"/>
      <c r="AN23" s="12"/>
      <c r="AO23" s="12"/>
      <c r="AP23" s="12"/>
      <c r="AQ23" s="12"/>
      <c r="AR23" s="12"/>
    </row>
    <row r="24" spans="1:44" s="5" customFormat="1" ht="12" customHeight="1">
      <c r="A24" s="500"/>
      <c r="B24" s="1333" t="s">
        <v>231</v>
      </c>
      <c r="C24" s="1334"/>
      <c r="D24" s="1334"/>
      <c r="E24" s="1334"/>
      <c r="F24" s="642">
        <v>0</v>
      </c>
      <c r="G24" s="643">
        <f>+I24*H24</f>
        <v>0</v>
      </c>
      <c r="H24" s="644">
        <f>VLOOKUP(B24,SPACE_TYPE_UNIT_DATA,8)</f>
        <v>0.01</v>
      </c>
      <c r="I24" s="645">
        <f>+F24*(VLOOKUP(B24,SPACE_TYPE_UNIT_DATA,3))</f>
        <v>0</v>
      </c>
      <c r="J24" s="646">
        <v>1</v>
      </c>
      <c r="K24" s="643">
        <f>VLOOKUP(B24,SPACE_TYPE_UNIT_DATA,5)</f>
        <v>0</v>
      </c>
      <c r="L24" s="647">
        <f>+F24*K24*J24</f>
        <v>0</v>
      </c>
      <c r="M24" s="648">
        <f>VLOOKUP(B24,SPACE_TYPE_UNIT_DATA,6)</f>
        <v>0.01</v>
      </c>
      <c r="N24" s="649">
        <f>+L24*M24</f>
        <v>0</v>
      </c>
      <c r="O24" s="650">
        <f>VLOOKUP(B24,SPACE_TYPE_UNIT_DATA,7)</f>
        <v>0</v>
      </c>
      <c r="P24" s="646">
        <v>1</v>
      </c>
      <c r="Q24" s="649">
        <f>+O24*P24*G24</f>
        <v>0</v>
      </c>
      <c r="R24" s="651" t="str">
        <f>IF($B24="SELECT SPACE TYPE","-",IF($B24="[ INSERT SPACE TYPE (NON-CAPACITY) ]","-",VLOOKUP(B24,SPACE_TYPE_UNIT_DATA,4)))</f>
        <v>-</v>
      </c>
      <c r="V24" s="12"/>
      <c r="W24" s="12"/>
      <c r="X24" s="12"/>
      <c r="Y24" s="12"/>
      <c r="AC24" s="12"/>
      <c r="AD24" s="12"/>
      <c r="AE24" s="12"/>
      <c r="AF24" s="12"/>
      <c r="AG24" s="12"/>
      <c r="AH24" s="12"/>
      <c r="AI24" s="12"/>
      <c r="AJ24" s="12"/>
      <c r="AK24" s="12"/>
      <c r="AL24" s="12"/>
      <c r="AM24" s="12"/>
      <c r="AN24" s="12"/>
      <c r="AO24" s="12"/>
      <c r="AP24" s="12"/>
      <c r="AQ24" s="12"/>
      <c r="AR24" s="12"/>
    </row>
    <row r="25" spans="1:44" s="5" customFormat="1" ht="12" customHeight="1">
      <c r="A25" s="33"/>
      <c r="B25" s="1335" t="s">
        <v>231</v>
      </c>
      <c r="C25" s="1336"/>
      <c r="D25" s="1336"/>
      <c r="E25" s="1336"/>
      <c r="F25" s="556">
        <v>0</v>
      </c>
      <c r="G25" s="593">
        <f>+I25*H25</f>
        <v>0</v>
      </c>
      <c r="H25" s="652">
        <f>VLOOKUP(B25,SPACE_TYPE_UNIT_DATA,8)</f>
        <v>0.01</v>
      </c>
      <c r="I25" s="653">
        <f>+F25*(VLOOKUP(B25,SPACE_TYPE_UNIT_DATA,3))</f>
        <v>0</v>
      </c>
      <c r="J25" s="654">
        <v>1</v>
      </c>
      <c r="K25" s="593">
        <f>VLOOKUP(B25,SPACE_TYPE_UNIT_DATA,5)</f>
        <v>0</v>
      </c>
      <c r="L25" s="655">
        <f>+F25*K25*J25</f>
        <v>0</v>
      </c>
      <c r="M25" s="656">
        <f>VLOOKUP(B25,SPACE_TYPE_UNIT_DATA,6)</f>
        <v>0.01</v>
      </c>
      <c r="N25" s="657">
        <f>+L25*M25</f>
        <v>0</v>
      </c>
      <c r="O25" s="658">
        <f>VLOOKUP(B25,SPACE_TYPE_UNIT_DATA,7)</f>
        <v>0</v>
      </c>
      <c r="P25" s="654">
        <v>1</v>
      </c>
      <c r="Q25" s="657">
        <f>+O25*P25*G25</f>
        <v>0</v>
      </c>
      <c r="R25" s="660" t="str">
        <f>IF($B25="SELECT SPACE TYPE","-",IF($B25="[ INSERT SPACE TYPE (NON-CAPACITY) ]","-",VLOOKUP(B25,SPACE_TYPE_UNIT_DATA,4)))</f>
        <v>-</v>
      </c>
      <c r="V25" s="12"/>
      <c r="W25" s="12"/>
      <c r="X25" s="12"/>
      <c r="Y25" s="12"/>
      <c r="AC25" s="12"/>
      <c r="AD25" s="12"/>
      <c r="AE25" s="12"/>
      <c r="AF25" s="12"/>
      <c r="AG25" s="12"/>
      <c r="AH25" s="12"/>
      <c r="AI25" s="12"/>
      <c r="AJ25" s="12"/>
      <c r="AK25" s="12"/>
      <c r="AL25" s="12"/>
      <c r="AM25" s="12"/>
      <c r="AN25" s="12"/>
      <c r="AO25" s="12"/>
      <c r="AP25" s="12"/>
      <c r="AQ25" s="12"/>
      <c r="AR25" s="12"/>
    </row>
    <row r="26" spans="1:44" s="5" customFormat="1" ht="14.25" customHeight="1">
      <c r="A26" s="33"/>
      <c r="B26" s="307"/>
      <c r="C26" s="96"/>
      <c r="D26" s="96"/>
      <c r="E26" s="96"/>
      <c r="F26" s="96"/>
      <c r="G26" s="467">
        <f>SUM(G13:G22)</f>
        <v>0</v>
      </c>
      <c r="H26" s="514" t="e">
        <f>G26/I26</f>
        <v>#DIV/0!</v>
      </c>
      <c r="I26" s="467">
        <f>SUM(I13:I25)</f>
        <v>0</v>
      </c>
      <c r="J26" s="467"/>
      <c r="K26" s="96"/>
      <c r="L26" s="525">
        <f>ROUND(SUM(L13:L25),-3)</f>
        <v>0</v>
      </c>
      <c r="M26" s="503"/>
      <c r="N26" s="511">
        <f>ROUND(SUM(N13:N25),-3)</f>
        <v>0</v>
      </c>
      <c r="O26" s="503"/>
      <c r="P26" s="504"/>
      <c r="Q26" s="511">
        <f>ROUND(SUM(Q13:Q25),-3)</f>
        <v>0</v>
      </c>
      <c r="R26" s="533">
        <f>MIN(R13:R25)</f>
        <v>0</v>
      </c>
      <c r="V26" s="12"/>
      <c r="W26" s="12"/>
      <c r="X26" s="12"/>
      <c r="Y26" s="12"/>
      <c r="AC26" s="12"/>
      <c r="AD26" s="12"/>
      <c r="AE26" s="12"/>
      <c r="AF26" s="12"/>
      <c r="AG26" s="12"/>
      <c r="AH26" s="12"/>
      <c r="AI26" s="12"/>
      <c r="AJ26" s="12"/>
      <c r="AK26" s="12"/>
      <c r="AL26" s="12"/>
      <c r="AM26" s="12"/>
      <c r="AN26" s="12"/>
      <c r="AO26" s="12"/>
      <c r="AP26" s="12"/>
      <c r="AQ26" s="12"/>
      <c r="AR26" s="12"/>
    </row>
    <row r="27" spans="1:44">
      <c r="L27" s="526" t="s">
        <v>236</v>
      </c>
      <c r="M27" s="526"/>
      <c r="N27" s="526"/>
      <c r="O27" s="526"/>
      <c r="P27" s="526"/>
      <c r="Q27" s="526"/>
      <c r="R27" s="528"/>
    </row>
    <row r="28" spans="1:44">
      <c r="A28" s="309"/>
      <c r="L28" s="526" t="s">
        <v>237</v>
      </c>
      <c r="N28" s="526" t="s">
        <v>238</v>
      </c>
      <c r="Q28" s="526" t="s">
        <v>239</v>
      </c>
      <c r="R28" s="528"/>
    </row>
    <row r="29" spans="1:44">
      <c r="A29" s="309"/>
    </row>
    <row r="30" spans="1:44" ht="15.75">
      <c r="A30" s="309"/>
      <c r="B30" s="843"/>
      <c r="C30" s="832"/>
      <c r="D30" s="832"/>
      <c r="E30" s="832"/>
      <c r="F30" s="832"/>
      <c r="G30" s="832"/>
      <c r="H30" s="832"/>
      <c r="I30" s="832"/>
      <c r="J30" s="832"/>
      <c r="K30" s="832"/>
      <c r="L30" s="893"/>
      <c r="M30" s="1330"/>
      <c r="N30" s="1330"/>
      <c r="O30" s="1330"/>
      <c r="P30" s="310"/>
    </row>
    <row r="31" spans="1:44">
      <c r="A31" s="309"/>
      <c r="B31" s="154"/>
      <c r="C31" s="313"/>
      <c r="D31" s="313"/>
      <c r="E31" s="313"/>
      <c r="F31" s="313"/>
      <c r="G31" s="313"/>
      <c r="H31" s="313"/>
      <c r="I31" s="313"/>
      <c r="J31" s="313"/>
      <c r="K31" s="311"/>
      <c r="L31" s="1162"/>
      <c r="M31" s="1162"/>
      <c r="N31" s="1162"/>
      <c r="O31" s="1162"/>
    </row>
    <row r="32" spans="1:44">
      <c r="A32" s="309"/>
      <c r="B32" s="1163"/>
      <c r="C32" s="1163"/>
      <c r="D32" s="313"/>
      <c r="E32" s="313"/>
      <c r="F32" s="313"/>
      <c r="G32" s="313"/>
      <c r="H32" s="313"/>
      <c r="I32" s="313"/>
      <c r="J32" s="313"/>
      <c r="K32" s="311"/>
      <c r="L32" s="1161"/>
      <c r="M32" s="1161"/>
      <c r="N32" s="1161"/>
      <c r="O32" s="1161"/>
    </row>
    <row r="33" spans="1:16">
      <c r="A33" s="309"/>
      <c r="B33" s="1163"/>
      <c r="C33" s="1163"/>
      <c r="D33" s="154"/>
      <c r="E33" s="154"/>
      <c r="F33" s="154"/>
      <c r="G33" s="154"/>
      <c r="H33" s="154"/>
      <c r="I33" s="154"/>
      <c r="J33" s="154"/>
      <c r="K33" s="312"/>
      <c r="L33" s="1161"/>
      <c r="M33" s="1161"/>
      <c r="N33" s="1161"/>
      <c r="O33" s="1161"/>
    </row>
    <row r="34" spans="1:16">
      <c r="A34" s="309"/>
      <c r="B34" s="1163"/>
      <c r="C34" s="1164"/>
      <c r="D34" s="154"/>
      <c r="E34" s="154"/>
      <c r="F34" s="154"/>
      <c r="G34" s="154"/>
      <c r="H34" s="154"/>
      <c r="I34" s="154"/>
      <c r="J34" s="154"/>
      <c r="K34" s="312"/>
      <c r="L34" s="1161"/>
      <c r="M34" s="1161"/>
      <c r="N34" s="1161"/>
      <c r="O34" s="1161"/>
    </row>
    <row r="35" spans="1:16">
      <c r="A35" s="309"/>
      <c r="B35" s="1163"/>
      <c r="C35" s="1163"/>
      <c r="D35" s="313"/>
      <c r="E35" s="313"/>
      <c r="F35" s="313"/>
      <c r="G35" s="313"/>
      <c r="H35" s="313"/>
      <c r="I35" s="313"/>
      <c r="J35" s="313"/>
      <c r="K35" s="312"/>
      <c r="L35" s="1161"/>
      <c r="M35" s="1161"/>
      <c r="N35" s="1161"/>
      <c r="O35" s="1161"/>
    </row>
    <row r="36" spans="1:16">
      <c r="A36" s="309"/>
      <c r="B36" s="1163"/>
      <c r="C36" s="1163"/>
      <c r="D36" s="313"/>
      <c r="E36" s="313"/>
      <c r="F36" s="313"/>
      <c r="G36" s="313"/>
      <c r="H36" s="313"/>
      <c r="I36" s="313"/>
      <c r="J36" s="313"/>
      <c r="K36" s="312"/>
      <c r="L36" s="1161"/>
      <c r="M36" s="1161"/>
      <c r="N36" s="1161"/>
      <c r="O36" s="1161"/>
    </row>
    <row r="37" spans="1:16">
      <c r="A37" s="309"/>
      <c r="B37" s="1163"/>
      <c r="C37" s="1163"/>
      <c r="D37" s="313"/>
      <c r="E37" s="313"/>
      <c r="F37" s="313"/>
      <c r="G37" s="313"/>
      <c r="H37" s="313"/>
      <c r="I37" s="313"/>
      <c r="J37" s="313"/>
      <c r="K37" s="312"/>
      <c r="L37" s="1161"/>
      <c r="M37" s="1161"/>
      <c r="N37" s="1161"/>
      <c r="O37" s="1161"/>
    </row>
    <row r="38" spans="1:16">
      <c r="A38" s="309"/>
      <c r="B38" s="1163"/>
      <c r="C38" s="1163"/>
      <c r="D38" s="313"/>
      <c r="E38" s="313"/>
      <c r="F38" s="313"/>
      <c r="G38" s="313"/>
      <c r="H38" s="313"/>
      <c r="I38" s="313"/>
      <c r="J38" s="313"/>
      <c r="K38" s="312"/>
      <c r="L38" s="1161"/>
      <c r="M38" s="1161"/>
      <c r="N38" s="1161"/>
      <c r="O38" s="1161"/>
    </row>
    <row r="39" spans="1:16">
      <c r="A39" s="309"/>
      <c r="B39" s="313"/>
      <c r="C39" s="313"/>
      <c r="D39" s="313"/>
      <c r="E39" s="313"/>
      <c r="F39" s="313"/>
      <c r="G39" s="313"/>
      <c r="H39" s="313"/>
      <c r="I39" s="313"/>
      <c r="J39" s="313"/>
      <c r="K39" s="311"/>
      <c r="L39" s="1161"/>
      <c r="M39" s="1161"/>
      <c r="N39" s="1161"/>
      <c r="O39" s="1161"/>
    </row>
    <row r="40" spans="1:16">
      <c r="A40" s="309"/>
      <c r="B40" s="316"/>
      <c r="C40" s="313"/>
      <c r="D40" s="316"/>
      <c r="E40" s="313"/>
      <c r="F40" s="313"/>
      <c r="G40" s="313"/>
      <c r="H40" s="313"/>
      <c r="I40" s="313"/>
      <c r="J40" s="313"/>
      <c r="K40" s="313"/>
      <c r="L40" s="313"/>
      <c r="M40" s="313"/>
      <c r="N40" s="313"/>
      <c r="O40" s="313"/>
      <c r="P40" s="310"/>
    </row>
    <row r="41" spans="1:16">
      <c r="A41" s="309"/>
      <c r="B41" s="313"/>
      <c r="C41" s="313"/>
      <c r="D41" s="313"/>
      <c r="E41" s="313"/>
      <c r="F41" s="313"/>
      <c r="G41" s="313"/>
      <c r="H41" s="313"/>
      <c r="I41" s="313"/>
      <c r="J41" s="313"/>
      <c r="K41" s="313"/>
      <c r="L41" s="313"/>
      <c r="M41" s="313"/>
      <c r="N41" s="313"/>
      <c r="O41" s="313"/>
      <c r="P41" s="310"/>
    </row>
    <row r="42" spans="1:16">
      <c r="A42" s="309"/>
      <c r="B42" s="316"/>
      <c r="C42" s="316"/>
      <c r="D42" s="154"/>
      <c r="E42" s="154"/>
      <c r="F42" s="154"/>
      <c r="G42" s="313"/>
      <c r="H42" s="154"/>
      <c r="I42" s="154"/>
      <c r="J42" s="154"/>
      <c r="K42" s="313"/>
      <c r="L42" s="313"/>
      <c r="M42" s="313"/>
      <c r="N42" s="313"/>
      <c r="O42" s="313"/>
      <c r="P42" s="310"/>
    </row>
    <row r="43" spans="1:16">
      <c r="A43" s="309"/>
      <c r="B43" s="316"/>
      <c r="C43" s="316"/>
      <c r="D43" s="313"/>
      <c r="E43" s="313"/>
      <c r="F43" s="313"/>
      <c r="G43" s="313"/>
      <c r="H43" s="313"/>
      <c r="I43" s="313"/>
      <c r="J43" s="313"/>
      <c r="K43" s="313"/>
      <c r="L43" s="313"/>
      <c r="M43" s="1165"/>
      <c r="N43" s="1165"/>
      <c r="O43" s="1165"/>
      <c r="P43" s="310"/>
    </row>
    <row r="44" spans="1:16">
      <c r="A44" s="309"/>
      <c r="B44" s="313"/>
      <c r="C44" s="313"/>
      <c r="D44" s="313"/>
      <c r="E44" s="313"/>
      <c r="F44" s="313"/>
      <c r="G44" s="313"/>
      <c r="H44" s="313"/>
      <c r="I44" s="313"/>
      <c r="J44" s="313"/>
      <c r="K44" s="313"/>
      <c r="L44" s="313"/>
      <c r="M44" s="1165"/>
      <c r="N44" s="1165"/>
      <c r="O44" s="1165"/>
      <c r="P44" s="310"/>
    </row>
    <row r="45" spans="1:16">
      <c r="A45" s="309"/>
      <c r="B45" s="316"/>
      <c r="C45" s="316"/>
      <c r="D45" s="316"/>
      <c r="E45" s="313"/>
      <c r="F45" s="313"/>
      <c r="G45" s="313"/>
      <c r="H45" s="154"/>
      <c r="I45" s="154"/>
      <c r="J45" s="154"/>
      <c r="K45" s="316"/>
      <c r="L45" s="1166"/>
      <c r="M45" s="1166"/>
      <c r="N45" s="1166"/>
      <c r="O45" s="1166"/>
      <c r="P45" s="310"/>
    </row>
    <row r="46" spans="1:16">
      <c r="A46" s="309"/>
      <c r="B46" s="313"/>
      <c r="C46" s="313"/>
      <c r="D46" s="313"/>
      <c r="E46" s="313"/>
      <c r="F46" s="313"/>
      <c r="G46" s="1167"/>
      <c r="H46" s="313"/>
      <c r="I46" s="313"/>
      <c r="J46" s="313"/>
      <c r="K46" s="316"/>
      <c r="L46" s="1108"/>
      <c r="M46" s="1108"/>
      <c r="N46" s="1108"/>
      <c r="O46" s="1108"/>
      <c r="P46" s="310"/>
    </row>
    <row r="47" spans="1:16">
      <c r="A47" s="309"/>
      <c r="B47" s="316"/>
      <c r="C47" s="316"/>
      <c r="D47" s="313"/>
      <c r="E47" s="313"/>
      <c r="F47" s="313"/>
      <c r="G47" s="313"/>
      <c r="H47" s="313"/>
      <c r="I47" s="313"/>
      <c r="J47" s="313"/>
      <c r="K47" s="316"/>
      <c r="L47" s="1108"/>
      <c r="M47" s="1108"/>
      <c r="N47" s="1108"/>
      <c r="O47" s="1108"/>
      <c r="P47" s="310"/>
    </row>
    <row r="48" spans="1:16">
      <c r="A48" s="309"/>
      <c r="B48" s="316"/>
      <c r="C48" s="316"/>
      <c r="D48" s="313"/>
      <c r="E48" s="313"/>
      <c r="F48" s="313"/>
      <c r="G48" s="313"/>
      <c r="H48" s="1108"/>
      <c r="I48" s="1108"/>
      <c r="J48" s="1108"/>
      <c r="K48" s="316"/>
      <c r="L48" s="315"/>
      <c r="M48" s="315"/>
      <c r="N48" s="315"/>
      <c r="O48" s="313"/>
      <c r="P48" s="310"/>
    </row>
    <row r="49" spans="1:17">
      <c r="A49" s="309"/>
      <c r="B49" s="316"/>
      <c r="C49" s="316"/>
      <c r="D49" s="313"/>
      <c r="E49" s="313"/>
      <c r="F49" s="313"/>
      <c r="G49" s="313"/>
      <c r="H49" s="1108"/>
      <c r="I49" s="1108"/>
      <c r="J49" s="1108"/>
      <c r="K49" s="316"/>
      <c r="L49" s="315"/>
      <c r="M49" s="315"/>
      <c r="N49" s="315"/>
      <c r="O49" s="313"/>
      <c r="P49" s="310"/>
    </row>
    <row r="50" spans="1:17">
      <c r="A50" s="313"/>
      <c r="B50" s="316"/>
      <c r="C50" s="316"/>
      <c r="D50" s="313"/>
      <c r="E50" s="313"/>
      <c r="F50" s="313"/>
      <c r="G50" s="313"/>
      <c r="H50" s="316"/>
      <c r="I50" s="316"/>
      <c r="J50" s="316"/>
      <c r="K50" s="316"/>
      <c r="L50" s="316"/>
      <c r="M50" s="316"/>
      <c r="N50" s="316"/>
      <c r="O50" s="316"/>
      <c r="P50" s="313"/>
      <c r="Q50" s="316"/>
    </row>
    <row r="51" spans="1:17" ht="18">
      <c r="A51" s="313"/>
      <c r="B51" s="1178"/>
      <c r="C51" s="1179"/>
      <c r="D51" s="1179"/>
      <c r="E51" s="1179"/>
      <c r="F51" s="1179"/>
      <c r="G51" s="1179"/>
      <c r="H51" s="1179"/>
      <c r="I51" s="1179"/>
      <c r="J51" s="1179"/>
      <c r="K51" s="1179"/>
      <c r="L51" s="1179"/>
      <c r="M51" s="316"/>
      <c r="N51" s="316"/>
      <c r="O51" s="316"/>
      <c r="P51" s="316"/>
      <c r="Q51" s="316"/>
    </row>
    <row r="52" spans="1:17">
      <c r="A52" s="313"/>
      <c r="B52" s="1174"/>
      <c r="C52" s="1108"/>
      <c r="D52" s="316"/>
      <c r="E52" s="316"/>
      <c r="F52" s="316"/>
      <c r="G52" s="1108"/>
      <c r="H52" s="1108"/>
      <c r="I52" s="1108"/>
      <c r="J52" s="1108"/>
      <c r="K52" s="1108"/>
      <c r="L52" s="1108"/>
      <c r="M52" s="1180"/>
      <c r="N52" s="313"/>
      <c r="O52" s="313"/>
      <c r="P52" s="316"/>
      <c r="Q52" s="316"/>
    </row>
    <row r="53" spans="1:17">
      <c r="A53" s="313"/>
      <c r="B53" s="1168"/>
      <c r="C53" s="1168"/>
      <c r="D53" s="316"/>
      <c r="E53" s="316"/>
      <c r="F53" s="316"/>
      <c r="G53" s="1121"/>
      <c r="H53" s="1169"/>
      <c r="I53" s="1170"/>
      <c r="J53" s="1170"/>
      <c r="K53" s="1171"/>
      <c r="L53" s="1121"/>
      <c r="M53" s="1172"/>
      <c r="N53" s="1181"/>
      <c r="O53" s="334"/>
      <c r="P53" s="316"/>
      <c r="Q53" s="316"/>
    </row>
    <row r="54" spans="1:17">
      <c r="A54" s="313"/>
      <c r="B54" s="1164"/>
      <c r="C54" s="1168"/>
      <c r="D54" s="316"/>
      <c r="E54" s="316"/>
      <c r="F54" s="316"/>
      <c r="G54" s="1121"/>
      <c r="H54" s="1169"/>
      <c r="I54" s="1170"/>
      <c r="J54" s="1170"/>
      <c r="K54" s="1171"/>
      <c r="L54" s="1121"/>
      <c r="M54" s="1172"/>
      <c r="N54" s="1181"/>
      <c r="O54" s="334"/>
      <c r="P54" s="316"/>
      <c r="Q54" s="316"/>
    </row>
    <row r="55" spans="1:17">
      <c r="A55" s="313"/>
      <c r="B55" s="1174"/>
      <c r="C55" s="1182"/>
      <c r="D55" s="316"/>
      <c r="E55" s="316"/>
      <c r="F55" s="316"/>
      <c r="G55" s="1108"/>
      <c r="H55" s="1108"/>
      <c r="I55" s="1108"/>
      <c r="J55" s="1108"/>
      <c r="K55" s="1108"/>
      <c r="L55" s="1108"/>
      <c r="M55" s="1172"/>
      <c r="N55" s="1181"/>
      <c r="O55" s="334"/>
      <c r="P55" s="316"/>
      <c r="Q55" s="316"/>
    </row>
    <row r="56" spans="1:17">
      <c r="A56" s="313"/>
      <c r="B56" s="1164"/>
      <c r="C56" s="1168"/>
      <c r="D56" s="316"/>
      <c r="E56" s="316"/>
      <c r="F56" s="316"/>
      <c r="G56" s="1121"/>
      <c r="H56" s="1169"/>
      <c r="I56" s="1170"/>
      <c r="J56" s="1170"/>
      <c r="K56" s="1171"/>
      <c r="L56" s="1121"/>
      <c r="M56" s="1172"/>
      <c r="N56" s="1181"/>
      <c r="O56" s="334"/>
      <c r="P56" s="316"/>
      <c r="Q56" s="316"/>
    </row>
    <row r="57" spans="1:17">
      <c r="A57" s="313"/>
      <c r="B57" s="1164"/>
      <c r="C57" s="1168"/>
      <c r="D57" s="316"/>
      <c r="E57" s="316"/>
      <c r="F57" s="316"/>
      <c r="G57" s="1121"/>
      <c r="H57" s="1169"/>
      <c r="I57" s="1170"/>
      <c r="J57" s="1170"/>
      <c r="K57" s="1171"/>
      <c r="L57" s="1121"/>
      <c r="M57" s="1172"/>
      <c r="N57" s="1181"/>
      <c r="O57" s="334"/>
      <c r="P57" s="316"/>
      <c r="Q57" s="316"/>
    </row>
    <row r="58" spans="1:17">
      <c r="A58" s="313"/>
      <c r="B58" s="1174"/>
      <c r="C58" s="1182"/>
      <c r="D58" s="316"/>
      <c r="E58" s="316"/>
      <c r="F58" s="316"/>
      <c r="G58" s="1108"/>
      <c r="H58" s="1108"/>
      <c r="I58" s="1108"/>
      <c r="J58" s="1108"/>
      <c r="K58" s="1108"/>
      <c r="L58" s="1108"/>
      <c r="M58" s="1173"/>
      <c r="N58" s="1181"/>
      <c r="O58" s="334"/>
      <c r="P58" s="316"/>
      <c r="Q58" s="316"/>
    </row>
    <row r="59" spans="1:17">
      <c r="A59" s="313"/>
      <c r="B59" s="1164"/>
      <c r="C59" s="1168"/>
      <c r="D59" s="316"/>
      <c r="E59" s="316"/>
      <c r="F59" s="316"/>
      <c r="G59" s="1121"/>
      <c r="H59" s="1169"/>
      <c r="I59" s="1170"/>
      <c r="J59" s="1170"/>
      <c r="K59" s="1171"/>
      <c r="L59" s="1121"/>
      <c r="M59" s="1172"/>
      <c r="N59" s="1181"/>
      <c r="O59" s="334"/>
      <c r="P59" s="316"/>
      <c r="Q59" s="316"/>
    </row>
    <row r="60" spans="1:17">
      <c r="A60" s="313"/>
      <c r="B60" s="1164"/>
      <c r="C60" s="1168"/>
      <c r="D60" s="316"/>
      <c r="E60" s="316"/>
      <c r="F60" s="316"/>
      <c r="G60" s="1121"/>
      <c r="H60" s="1169"/>
      <c r="I60" s="1170"/>
      <c r="J60" s="1170"/>
      <c r="K60" s="1171"/>
      <c r="L60" s="1121"/>
      <c r="M60" s="1172"/>
      <c r="N60" s="1181"/>
      <c r="O60" s="334"/>
      <c r="P60" s="316"/>
      <c r="Q60" s="316"/>
    </row>
    <row r="61" spans="1:17">
      <c r="A61" s="313"/>
      <c r="B61" s="1174"/>
      <c r="C61" s="1182"/>
      <c r="D61" s="316"/>
      <c r="E61" s="316"/>
      <c r="F61" s="316"/>
      <c r="G61" s="1108"/>
      <c r="H61" s="1108"/>
      <c r="I61" s="1108"/>
      <c r="J61" s="1108"/>
      <c r="K61" s="1108"/>
      <c r="L61" s="1108"/>
      <c r="M61" s="1172"/>
      <c r="N61" s="1181"/>
      <c r="O61" s="334"/>
      <c r="P61" s="316"/>
      <c r="Q61" s="316"/>
    </row>
    <row r="62" spans="1:17">
      <c r="A62" s="313"/>
      <c r="B62" s="1164"/>
      <c r="C62" s="1168"/>
      <c r="D62" s="316"/>
      <c r="E62" s="316"/>
      <c r="F62" s="316"/>
      <c r="G62" s="1121"/>
      <c r="H62" s="1169"/>
      <c r="I62" s="1170"/>
      <c r="J62" s="1170"/>
      <c r="K62" s="1171"/>
      <c r="L62" s="1121"/>
      <c r="M62" s="1172"/>
      <c r="N62" s="1181"/>
      <c r="O62" s="334"/>
      <c r="P62" s="316"/>
      <c r="Q62" s="316"/>
    </row>
    <row r="63" spans="1:17">
      <c r="A63" s="313"/>
      <c r="B63" s="1164"/>
      <c r="C63" s="1168"/>
      <c r="D63" s="316"/>
      <c r="E63" s="316"/>
      <c r="F63" s="316"/>
      <c r="G63" s="1121"/>
      <c r="H63" s="1169"/>
      <c r="I63" s="1170"/>
      <c r="J63" s="1170"/>
      <c r="K63" s="1171"/>
      <c r="L63" s="1121"/>
      <c r="M63" s="1172"/>
      <c r="N63" s="1181"/>
      <c r="O63" s="334"/>
      <c r="P63" s="316"/>
      <c r="Q63" s="316"/>
    </row>
    <row r="64" spans="1:17">
      <c r="A64" s="313"/>
      <c r="B64" s="1174"/>
      <c r="C64" s="313"/>
      <c r="D64" s="316"/>
      <c r="E64" s="316"/>
      <c r="F64" s="316"/>
      <c r="G64" s="313"/>
      <c r="H64" s="311"/>
      <c r="I64" s="311"/>
      <c r="J64" s="311"/>
      <c r="K64" s="313"/>
      <c r="L64" s="1108"/>
      <c r="M64" s="316"/>
      <c r="N64" s="313"/>
      <c r="O64" s="313"/>
      <c r="P64" s="316"/>
      <c r="Q64" s="316"/>
    </row>
    <row r="65" spans="1:17">
      <c r="A65" s="313"/>
      <c r="B65" s="316"/>
      <c r="C65" s="316"/>
      <c r="D65" s="316"/>
      <c r="E65" s="316"/>
      <c r="F65" s="316"/>
      <c r="G65" s="316"/>
      <c r="H65" s="316"/>
      <c r="I65" s="316"/>
      <c r="J65" s="316"/>
      <c r="K65" s="316"/>
      <c r="L65" s="316"/>
      <c r="M65" s="313"/>
      <c r="N65" s="313"/>
      <c r="O65" s="313"/>
      <c r="P65" s="316"/>
      <c r="Q65" s="316"/>
    </row>
    <row r="66" spans="1:17">
      <c r="A66" s="313"/>
      <c r="B66" s="1183"/>
      <c r="C66" s="316"/>
      <c r="D66" s="316"/>
      <c r="E66" s="316"/>
      <c r="F66" s="316"/>
      <c r="G66" s="1184"/>
      <c r="H66" s="316"/>
      <c r="I66" s="316"/>
      <c r="J66" s="316"/>
      <c r="K66" s="316"/>
      <c r="L66" s="1185"/>
      <c r="M66" s="313"/>
      <c r="N66" s="1175"/>
      <c r="O66" s="316"/>
      <c r="P66" s="316"/>
      <c r="Q66" s="316"/>
    </row>
    <row r="67" spans="1:17">
      <c r="A67" s="313"/>
      <c r="B67" s="1184"/>
      <c r="C67" s="1108"/>
      <c r="D67" s="316"/>
      <c r="E67" s="316"/>
      <c r="F67" s="316"/>
      <c r="G67" s="677"/>
      <c r="H67" s="1108"/>
      <c r="I67" s="1108"/>
      <c r="J67" s="1108"/>
      <c r="K67" s="1108"/>
      <c r="L67" s="1108"/>
      <c r="M67" s="313"/>
      <c r="N67" s="1161"/>
      <c r="O67" s="316"/>
      <c r="P67" s="316"/>
      <c r="Q67" s="316"/>
    </row>
    <row r="68" spans="1:17">
      <c r="A68" s="313"/>
      <c r="B68" s="1184"/>
      <c r="C68" s="1108"/>
      <c r="D68" s="316"/>
      <c r="E68" s="316"/>
      <c r="F68" s="316"/>
      <c r="G68" s="677"/>
      <c r="H68" s="1108"/>
      <c r="I68" s="1108"/>
      <c r="J68" s="1108"/>
      <c r="K68" s="1108"/>
      <c r="L68" s="1108"/>
      <c r="M68" s="313"/>
      <c r="N68" s="313"/>
      <c r="O68" s="313"/>
      <c r="P68" s="316"/>
      <c r="Q68" s="316"/>
    </row>
    <row r="69" spans="1:17">
      <c r="A69" s="313"/>
      <c r="B69" s="1174"/>
      <c r="C69" s="1108"/>
      <c r="D69" s="316"/>
      <c r="E69" s="316"/>
      <c r="F69" s="316"/>
      <c r="G69" s="677"/>
      <c r="H69" s="1108"/>
      <c r="I69" s="1108"/>
      <c r="J69" s="1108"/>
      <c r="K69" s="1108"/>
      <c r="L69" s="1108"/>
      <c r="M69" s="313"/>
      <c r="N69" s="313"/>
      <c r="O69" s="313"/>
      <c r="P69" s="316"/>
      <c r="Q69" s="316"/>
    </row>
    <row r="70" spans="1:17">
      <c r="A70" s="313"/>
      <c r="B70" s="1184"/>
      <c r="C70" s="1108"/>
      <c r="D70" s="316"/>
      <c r="E70" s="316"/>
      <c r="F70" s="316"/>
      <c r="G70" s="677"/>
      <c r="H70" s="1108"/>
      <c r="I70" s="1108"/>
      <c r="J70" s="1108"/>
      <c r="K70" s="1108"/>
      <c r="L70" s="1108"/>
      <c r="M70" s="313"/>
      <c r="N70" s="313"/>
      <c r="O70" s="313"/>
      <c r="P70" s="316"/>
      <c r="Q70" s="316"/>
    </row>
    <row r="71" spans="1:17">
      <c r="A71" s="313"/>
      <c r="B71" s="1174"/>
      <c r="C71" s="1108"/>
      <c r="D71" s="316"/>
      <c r="E71" s="316"/>
      <c r="F71" s="316"/>
      <c r="G71" s="677"/>
      <c r="H71" s="1108"/>
      <c r="I71" s="1108"/>
      <c r="J71" s="1108"/>
      <c r="K71" s="1108"/>
      <c r="L71" s="1108"/>
      <c r="M71" s="313"/>
      <c r="N71" s="313"/>
      <c r="O71" s="313"/>
      <c r="P71" s="316"/>
      <c r="Q71" s="316"/>
    </row>
    <row r="72" spans="1:17">
      <c r="A72" s="313"/>
      <c r="B72" s="1164"/>
      <c r="C72" s="1108"/>
      <c r="D72" s="316"/>
      <c r="E72" s="316"/>
      <c r="F72" s="316"/>
      <c r="G72" s="1184"/>
      <c r="H72" s="1108"/>
      <c r="I72" s="1108"/>
      <c r="J72" s="1108"/>
      <c r="K72" s="1108"/>
      <c r="L72" s="1185"/>
      <c r="M72" s="313"/>
      <c r="N72" s="1175"/>
      <c r="O72" s="316"/>
      <c r="P72" s="316"/>
      <c r="Q72" s="316"/>
    </row>
    <row r="73" spans="1:17">
      <c r="A73" s="313"/>
      <c r="B73" s="316"/>
      <c r="C73" s="313"/>
      <c r="D73" s="316"/>
      <c r="E73" s="316"/>
      <c r="F73" s="316"/>
      <c r="G73" s="677"/>
      <c r="H73" s="313"/>
      <c r="I73" s="313"/>
      <c r="J73" s="313"/>
      <c r="K73" s="313"/>
      <c r="L73" s="1108"/>
      <c r="M73" s="313"/>
      <c r="N73" s="1161"/>
      <c r="O73" s="316"/>
      <c r="P73" s="316"/>
      <c r="Q73" s="316"/>
    </row>
    <row r="74" spans="1:17">
      <c r="A74" s="313"/>
      <c r="B74" s="1163"/>
      <c r="C74" s="313"/>
      <c r="D74" s="316"/>
      <c r="E74" s="316"/>
      <c r="F74" s="316"/>
      <c r="G74" s="677"/>
      <c r="H74" s="313"/>
      <c r="I74" s="313"/>
      <c r="J74" s="313"/>
      <c r="K74" s="313"/>
      <c r="L74" s="1108"/>
      <c r="M74" s="313"/>
      <c r="N74" s="316"/>
      <c r="O74" s="313"/>
      <c r="P74" s="316"/>
      <c r="Q74" s="316"/>
    </row>
    <row r="75" spans="1:17">
      <c r="A75" s="313"/>
      <c r="B75" s="1163"/>
      <c r="C75" s="313"/>
      <c r="D75" s="316"/>
      <c r="E75" s="316"/>
      <c r="F75" s="316"/>
      <c r="G75" s="677"/>
      <c r="H75" s="313"/>
      <c r="I75" s="313"/>
      <c r="J75" s="313"/>
      <c r="K75" s="313"/>
      <c r="L75" s="1108"/>
      <c r="M75" s="313"/>
      <c r="N75" s="1176"/>
      <c r="O75" s="313"/>
      <c r="P75" s="316"/>
      <c r="Q75" s="316"/>
    </row>
    <row r="76" spans="1:17">
      <c r="A76" s="313"/>
      <c r="B76" s="1163"/>
      <c r="C76" s="313"/>
      <c r="D76" s="316"/>
      <c r="E76" s="316"/>
      <c r="F76" s="316"/>
      <c r="G76" s="677"/>
      <c r="H76" s="313"/>
      <c r="I76" s="313"/>
      <c r="J76" s="313"/>
      <c r="K76" s="313"/>
      <c r="L76" s="1108"/>
      <c r="M76" s="313"/>
      <c r="N76" s="313"/>
      <c r="O76" s="313"/>
      <c r="P76" s="316"/>
      <c r="Q76" s="316"/>
    </row>
    <row r="77" spans="1:17">
      <c r="A77" s="313"/>
      <c r="B77" s="313"/>
      <c r="C77" s="313"/>
      <c r="D77" s="316"/>
      <c r="E77" s="316"/>
      <c r="F77" s="316"/>
      <c r="G77" s="677"/>
      <c r="H77" s="313"/>
      <c r="I77" s="313"/>
      <c r="J77" s="313"/>
      <c r="K77" s="313"/>
      <c r="L77" s="1108"/>
      <c r="M77" s="313"/>
      <c r="N77" s="313"/>
      <c r="O77" s="313"/>
      <c r="P77" s="316"/>
      <c r="Q77" s="316"/>
    </row>
    <row r="78" spans="1:17">
      <c r="A78" s="313"/>
      <c r="B78" s="313"/>
      <c r="C78" s="313"/>
      <c r="D78" s="316"/>
      <c r="E78" s="316"/>
      <c r="F78" s="316"/>
      <c r="G78" s="677"/>
      <c r="H78" s="313"/>
      <c r="I78" s="313"/>
      <c r="J78" s="313"/>
      <c r="K78" s="313"/>
      <c r="L78" s="1108"/>
      <c r="M78" s="316"/>
      <c r="N78" s="316"/>
      <c r="O78" s="316"/>
      <c r="P78" s="316"/>
      <c r="Q78" s="316"/>
    </row>
    <row r="79" spans="1:17">
      <c r="A79" s="313"/>
      <c r="B79" s="316"/>
      <c r="C79" s="316"/>
      <c r="D79" s="316"/>
      <c r="E79" s="316"/>
      <c r="F79" s="316"/>
      <c r="G79" s="316"/>
      <c r="H79" s="316"/>
      <c r="I79" s="316"/>
      <c r="J79" s="316"/>
      <c r="K79" s="316"/>
      <c r="L79" s="316"/>
      <c r="M79" s="316"/>
      <c r="N79" s="316"/>
      <c r="O79" s="316"/>
      <c r="P79" s="316"/>
      <c r="Q79" s="316"/>
    </row>
    <row r="80" spans="1:17">
      <c r="A80" s="313"/>
      <c r="B80" s="316"/>
      <c r="C80" s="316"/>
      <c r="D80" s="316"/>
      <c r="E80" s="316"/>
      <c r="F80" s="316"/>
      <c r="G80" s="316"/>
      <c r="H80" s="316"/>
      <c r="I80" s="316"/>
      <c r="J80" s="316"/>
      <c r="K80" s="316"/>
      <c r="L80" s="316"/>
      <c r="M80" s="316"/>
      <c r="N80" s="316"/>
      <c r="O80" s="316"/>
      <c r="P80" s="316"/>
      <c r="Q80" s="316"/>
    </row>
    <row r="81" spans="1:17">
      <c r="A81" s="313"/>
      <c r="B81" s="316"/>
      <c r="C81" s="316"/>
      <c r="D81" s="316"/>
      <c r="E81" s="316"/>
      <c r="F81" s="316"/>
      <c r="G81" s="316"/>
      <c r="H81" s="316"/>
      <c r="I81" s="316"/>
      <c r="J81" s="316"/>
      <c r="K81" s="316"/>
      <c r="L81" s="316"/>
      <c r="M81" s="316"/>
      <c r="N81" s="316"/>
      <c r="O81" s="316"/>
      <c r="P81" s="316"/>
      <c r="Q81" s="316"/>
    </row>
    <row r="82" spans="1:17">
      <c r="A82" s="313"/>
      <c r="B82" s="313"/>
      <c r="C82" s="313"/>
      <c r="D82" s="316"/>
      <c r="E82" s="316"/>
      <c r="F82" s="316"/>
      <c r="G82" s="1177"/>
      <c r="H82" s="313"/>
      <c r="I82" s="313"/>
      <c r="J82" s="313"/>
      <c r="K82" s="313"/>
      <c r="L82" s="1108"/>
      <c r="M82" s="316"/>
      <c r="N82" s="316"/>
      <c r="O82" s="316"/>
      <c r="P82" s="316"/>
      <c r="Q82" s="316"/>
    </row>
    <row r="83" spans="1:17">
      <c r="A83" s="313"/>
      <c r="B83" s="316"/>
      <c r="C83" s="316"/>
      <c r="D83" s="316"/>
      <c r="E83" s="316"/>
      <c r="F83" s="316"/>
      <c r="G83" s="316"/>
      <c r="H83" s="316"/>
      <c r="I83" s="316"/>
      <c r="J83" s="316"/>
      <c r="K83" s="316"/>
      <c r="L83" s="316"/>
      <c r="M83" s="316"/>
      <c r="N83" s="316"/>
      <c r="O83" s="316"/>
      <c r="P83" s="316"/>
      <c r="Q83" s="316"/>
    </row>
    <row r="84" spans="1:17">
      <c r="A84" s="309"/>
    </row>
    <row r="85" spans="1:17">
      <c r="A85" s="309"/>
    </row>
    <row r="86" spans="1:17">
      <c r="A86" s="309"/>
    </row>
    <row r="87" spans="1:17">
      <c r="A87" s="309"/>
    </row>
    <row r="88" spans="1:17">
      <c r="A88" s="309"/>
    </row>
    <row r="89" spans="1:17">
      <c r="A89" s="309"/>
    </row>
  </sheetData>
  <mergeCells count="14">
    <mergeCell ref="B10:L10"/>
    <mergeCell ref="M10:N10"/>
    <mergeCell ref="M11:N11"/>
    <mergeCell ref="O10:Q10"/>
    <mergeCell ref="B18:F18"/>
    <mergeCell ref="O11:Q11"/>
    <mergeCell ref="B13:F13"/>
    <mergeCell ref="B14:F14"/>
    <mergeCell ref="B15:F15"/>
    <mergeCell ref="M30:O30"/>
    <mergeCell ref="B17:F17"/>
    <mergeCell ref="B16:F16"/>
    <mergeCell ref="B24:E24"/>
    <mergeCell ref="B25:E25"/>
  </mergeCells>
  <dataValidations xWindow="607" yWindow="436" count="3">
    <dataValidation type="list" allowBlank="1" showInputMessage="1" showErrorMessage="1" promptTitle="SELECT SPACE TYPE" prompt="Selection is the basis for the OUTYEAR, EQUIPMENT, SUSTAINABLE and FEE CALCULATIONS._x000a__x000a_DO NOT SKIP THIS STEP." sqref="B24:B25" xr:uid="{00000000-0002-0000-0100-000000000000}">
      <formula1>SPACE_TYPE_UNIT</formula1>
    </dataValidation>
    <dataValidation type="list" allowBlank="1" showErrorMessage="1" promptTitle="SELECT FUND TYPE" sqref="B14:F18" xr:uid="{00000000-0002-0000-0100-000001000000}">
      <formula1>SPACE_TYPE</formula1>
    </dataValidation>
    <dataValidation type="list" allowBlank="1" showInputMessage="1" showErrorMessage="1" promptTitle="SELECT SPACE TYPE" prompt="Selection is the basis for the OUTYEAR, EQUIPMENT, SUSTAINABLE and FEE CALCULATIONS._x000a__x000a_DO NOT SKIP THIS STEP." sqref="B13:F13" xr:uid="{00000000-0002-0000-0100-000002000000}">
      <formula1>SPACE_TYPE</formula1>
    </dataValidation>
  </dataValidations>
  <pageMargins left="0.7" right="0.7" top="0.75" bottom="0.75" header="0.3" footer="0.3"/>
  <pageSetup scale="81" orientation="portrait" r:id="rId1"/>
  <colBreaks count="1" manualBreakCount="1">
    <brk id="1" max="1048575" man="1"/>
  </colBreak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9">
    <pageSetUpPr fitToPage="1"/>
  </sheetPr>
  <dimension ref="A1:AM58"/>
  <sheetViews>
    <sheetView workbookViewId="0">
      <selection sqref="A1:H1"/>
    </sheetView>
  </sheetViews>
  <sheetFormatPr defaultRowHeight="12.75"/>
  <cols>
    <col min="1" max="1" width="4" style="715" customWidth="1"/>
    <col min="2" max="2" width="15.5" style="715" customWidth="1"/>
    <col min="3" max="3" width="14.1640625" style="715" customWidth="1"/>
    <col min="4" max="4" width="23.83203125" style="715" customWidth="1"/>
    <col min="5" max="5" width="5.6640625" style="715" customWidth="1"/>
    <col min="6" max="6" width="15.83203125" style="715" customWidth="1"/>
    <col min="7" max="7" width="13" style="715" customWidth="1"/>
    <col min="8" max="8" width="17.6640625" style="715" customWidth="1"/>
    <col min="9" max="10" width="9.33203125" style="713"/>
    <col min="11" max="11" width="14.83203125" style="713" bestFit="1" customWidth="1"/>
    <col min="12" max="12" width="45.6640625" style="713" customWidth="1"/>
    <col min="13" max="17" width="9.33203125" style="713"/>
    <col min="18" max="21" width="9.33203125" style="714"/>
    <col min="22" max="16384" width="9.33203125" style="715"/>
  </cols>
  <sheetData>
    <row r="1" spans="1:39" ht="17.25" customHeight="1">
      <c r="A1" s="1351" t="s">
        <v>240</v>
      </c>
      <c r="B1" s="1351"/>
      <c r="C1" s="1351"/>
      <c r="D1" s="1351"/>
      <c r="E1" s="1351"/>
      <c r="F1" s="1351"/>
      <c r="G1" s="1351"/>
      <c r="H1" s="1351"/>
    </row>
    <row r="2" spans="1:39" ht="12.75" customHeight="1">
      <c r="A2" s="1352" t="s">
        <v>241</v>
      </c>
      <c r="B2" s="1352"/>
      <c r="C2" s="1352"/>
      <c r="D2" s="1352"/>
      <c r="E2" s="1352"/>
      <c r="F2" s="1352"/>
      <c r="G2" s="1352"/>
      <c r="H2" s="1352"/>
    </row>
    <row r="3" spans="1:39" ht="12.75" customHeight="1">
      <c r="A3" s="1353" t="s">
        <v>242</v>
      </c>
      <c r="B3" s="1353"/>
      <c r="C3" s="1353"/>
      <c r="D3" s="1353"/>
      <c r="E3" s="1353"/>
      <c r="F3" s="1353"/>
      <c r="G3" s="1353"/>
      <c r="H3" s="1353"/>
      <c r="M3" s="716"/>
      <c r="N3" s="716"/>
      <c r="O3" s="716"/>
      <c r="P3" s="716"/>
      <c r="Q3" s="716"/>
      <c r="R3" s="717"/>
      <c r="S3" s="717"/>
      <c r="T3" s="717"/>
      <c r="U3" s="717"/>
      <c r="V3" s="718"/>
      <c r="W3" s="718"/>
      <c r="X3" s="718"/>
      <c r="Y3" s="718"/>
      <c r="Z3" s="718"/>
      <c r="AA3" s="718"/>
      <c r="AB3" s="718"/>
      <c r="AC3" s="718"/>
      <c r="AD3" s="718"/>
      <c r="AE3" s="718"/>
      <c r="AF3" s="718"/>
      <c r="AG3" s="718"/>
      <c r="AH3" s="718"/>
      <c r="AI3" s="718"/>
      <c r="AJ3" s="718"/>
      <c r="AK3" s="718"/>
      <c r="AL3" s="718"/>
      <c r="AM3" s="718"/>
    </row>
    <row r="4" spans="1:39" ht="12.75" customHeight="1">
      <c r="A4" s="1354" t="s">
        <v>243</v>
      </c>
      <c r="B4" s="1354"/>
      <c r="C4" s="1354"/>
      <c r="D4" s="1354"/>
      <c r="E4" s="1354"/>
      <c r="F4" s="1354"/>
      <c r="G4" s="1354"/>
      <c r="H4" s="1354"/>
      <c r="M4" s="716"/>
      <c r="N4" s="716"/>
      <c r="O4" s="716"/>
      <c r="P4" s="716"/>
      <c r="Q4" s="716"/>
      <c r="R4" s="717"/>
      <c r="S4" s="717"/>
      <c r="T4" s="717"/>
      <c r="U4" s="717"/>
      <c r="V4" s="718"/>
      <c r="W4" s="718"/>
      <c r="X4" s="718"/>
      <c r="Y4" s="718"/>
      <c r="Z4" s="718"/>
      <c r="AA4" s="718"/>
      <c r="AB4" s="718"/>
      <c r="AC4" s="718"/>
      <c r="AD4" s="718"/>
      <c r="AE4" s="718"/>
      <c r="AF4" s="718"/>
      <c r="AG4" s="718"/>
      <c r="AH4" s="718"/>
      <c r="AI4" s="718"/>
      <c r="AJ4" s="718"/>
      <c r="AK4" s="718"/>
      <c r="AL4" s="718"/>
      <c r="AM4" s="718"/>
    </row>
    <row r="5" spans="1:39" ht="10.35" customHeight="1">
      <c r="A5" s="1355"/>
      <c r="B5" s="1355"/>
      <c r="C5" s="1355"/>
      <c r="D5" s="1355"/>
      <c r="E5" s="1355"/>
      <c r="F5" s="1355"/>
      <c r="G5" s="1355"/>
      <c r="H5" s="1355"/>
      <c r="M5" s="716"/>
      <c r="N5" s="716"/>
      <c r="O5" s="716"/>
      <c r="P5" s="716"/>
      <c r="Q5" s="716"/>
      <c r="R5" s="717"/>
      <c r="S5" s="717"/>
      <c r="T5" s="717"/>
      <c r="U5" s="717"/>
      <c r="V5" s="718"/>
      <c r="W5" s="718"/>
      <c r="X5" s="718"/>
      <c r="Y5" s="718"/>
      <c r="Z5" s="718"/>
      <c r="AA5" s="718"/>
      <c r="AB5" s="718"/>
      <c r="AC5" s="718"/>
      <c r="AD5" s="718"/>
      <c r="AE5" s="718"/>
      <c r="AF5" s="718"/>
      <c r="AG5" s="718"/>
      <c r="AH5" s="718"/>
      <c r="AI5" s="718"/>
      <c r="AJ5" s="718"/>
      <c r="AK5" s="718"/>
      <c r="AL5" s="718"/>
      <c r="AM5" s="718"/>
    </row>
    <row r="6" spans="1:39" s="722" customFormat="1" ht="12.6" customHeight="1">
      <c r="A6" s="1356" t="s">
        <v>244</v>
      </c>
      <c r="B6" s="1357"/>
      <c r="C6" s="1357"/>
      <c r="D6" s="1357"/>
      <c r="E6" s="1357"/>
      <c r="F6" s="1357"/>
      <c r="G6" s="1357"/>
      <c r="H6" s="1358"/>
      <c r="I6" s="719"/>
      <c r="J6" s="720"/>
      <c r="K6" s="720"/>
      <c r="L6" s="720"/>
      <c r="M6" s="720"/>
      <c r="N6" s="720"/>
      <c r="O6" s="720"/>
      <c r="P6" s="720"/>
      <c r="Q6" s="720"/>
      <c r="R6" s="721"/>
      <c r="S6" s="721"/>
      <c r="T6" s="721"/>
      <c r="U6" s="721"/>
      <c r="V6" s="721"/>
      <c r="W6" s="721"/>
      <c r="X6" s="721"/>
      <c r="Y6" s="721"/>
      <c r="Z6" s="721"/>
      <c r="AA6" s="721"/>
      <c r="AB6" s="721"/>
      <c r="AC6" s="721"/>
      <c r="AD6" s="721"/>
      <c r="AE6" s="721"/>
      <c r="AF6" s="721"/>
      <c r="AG6" s="721"/>
      <c r="AH6" s="721"/>
      <c r="AI6" s="721"/>
      <c r="AJ6" s="721"/>
      <c r="AK6" s="721"/>
      <c r="AL6" s="721"/>
      <c r="AM6" s="721"/>
    </row>
    <row r="7" spans="1:39" s="728" customFormat="1" ht="12" customHeight="1">
      <c r="A7" s="723"/>
      <c r="B7" s="932" t="s">
        <v>245</v>
      </c>
      <c r="C7" s="724"/>
      <c r="D7" s="932" t="s">
        <v>246</v>
      </c>
      <c r="E7" s="932" t="s">
        <v>247</v>
      </c>
      <c r="F7" s="932"/>
      <c r="G7" s="724"/>
      <c r="H7" s="933" t="s">
        <v>248</v>
      </c>
      <c r="I7" s="725"/>
      <c r="J7" s="726"/>
      <c r="K7" s="726"/>
      <c r="L7" s="726"/>
      <c r="M7" s="726"/>
      <c r="N7" s="726"/>
      <c r="O7" s="726"/>
      <c r="P7" s="726"/>
      <c r="Q7" s="726"/>
      <c r="R7" s="727"/>
      <c r="S7" s="727"/>
      <c r="T7" s="727"/>
      <c r="U7" s="727"/>
      <c r="V7" s="727"/>
      <c r="W7" s="727"/>
      <c r="X7" s="727"/>
      <c r="Y7" s="727"/>
      <c r="Z7" s="727"/>
      <c r="AA7" s="727"/>
      <c r="AB7" s="727"/>
      <c r="AC7" s="727"/>
      <c r="AD7" s="727"/>
      <c r="AE7" s="727"/>
      <c r="AF7" s="727"/>
      <c r="AG7" s="727"/>
      <c r="AH7" s="727"/>
      <c r="AI7" s="727"/>
      <c r="AJ7" s="727"/>
      <c r="AK7" s="727"/>
      <c r="AL7" s="727"/>
      <c r="AM7" s="727"/>
    </row>
    <row r="8" spans="1:39" ht="10.35" customHeight="1">
      <c r="A8" s="1355"/>
      <c r="B8" s="1355"/>
      <c r="C8" s="1355"/>
      <c r="D8" s="1355"/>
      <c r="E8" s="1355"/>
      <c r="F8" s="1355"/>
      <c r="G8" s="1355"/>
      <c r="H8" s="1355"/>
      <c r="M8" s="716"/>
      <c r="N8" s="716"/>
      <c r="O8" s="716"/>
      <c r="P8" s="716"/>
      <c r="Q8" s="716"/>
      <c r="R8" s="717"/>
      <c r="S8" s="717"/>
      <c r="T8" s="717"/>
      <c r="U8" s="717"/>
      <c r="V8" s="718"/>
      <c r="W8" s="718"/>
      <c r="X8" s="718"/>
      <c r="Y8" s="718"/>
      <c r="Z8" s="718"/>
      <c r="AA8" s="718"/>
      <c r="AB8" s="718"/>
      <c r="AC8" s="718"/>
      <c r="AD8" s="718"/>
      <c r="AE8" s="718"/>
      <c r="AF8" s="718"/>
      <c r="AG8" s="718"/>
      <c r="AH8" s="718"/>
      <c r="AI8" s="718"/>
      <c r="AJ8" s="718"/>
      <c r="AK8" s="718"/>
      <c r="AL8" s="718"/>
      <c r="AM8" s="718"/>
    </row>
    <row r="9" spans="1:39" ht="14.45" customHeight="1">
      <c r="A9" s="729" t="s">
        <v>249</v>
      </c>
      <c r="B9" s="730"/>
      <c r="C9" s="730"/>
      <c r="D9" s="730"/>
      <c r="E9" s="730"/>
      <c r="F9" s="730"/>
      <c r="G9" s="730"/>
      <c r="H9" s="731"/>
      <c r="K9" s="714"/>
      <c r="L9" s="714"/>
      <c r="M9" s="717"/>
      <c r="N9" s="718"/>
      <c r="O9" s="718"/>
      <c r="P9" s="718"/>
      <c r="Q9" s="718"/>
      <c r="R9" s="718"/>
      <c r="S9" s="718"/>
      <c r="T9" s="718"/>
      <c r="U9" s="718"/>
      <c r="V9" s="718"/>
      <c r="W9" s="718"/>
      <c r="X9" s="718"/>
      <c r="Y9" s="718"/>
      <c r="Z9" s="718"/>
      <c r="AA9" s="718"/>
      <c r="AB9" s="718"/>
      <c r="AC9" s="718"/>
      <c r="AD9" s="718"/>
      <c r="AE9" s="718"/>
      <c r="AF9" s="718"/>
      <c r="AG9" s="718"/>
      <c r="AH9" s="718"/>
      <c r="AI9" s="718"/>
      <c r="AJ9" s="718"/>
      <c r="AK9" s="718"/>
      <c r="AL9" s="718"/>
      <c r="AM9" s="718"/>
    </row>
    <row r="10" spans="1:39" ht="15" customHeight="1">
      <c r="A10" s="1347" t="s">
        <v>17</v>
      </c>
      <c r="B10" s="1348"/>
      <c r="C10" s="1359"/>
      <c r="D10" s="1359"/>
      <c r="E10" s="1348" t="s">
        <v>250</v>
      </c>
      <c r="F10" s="1348"/>
      <c r="G10" s="1359"/>
      <c r="H10" s="1360"/>
      <c r="K10" s="714"/>
      <c r="L10" s="714"/>
      <c r="M10" s="717"/>
      <c r="N10" s="718"/>
      <c r="O10" s="718"/>
      <c r="P10" s="718"/>
      <c r="Q10" s="718"/>
      <c r="R10" s="718"/>
      <c r="S10" s="718"/>
      <c r="T10" s="718"/>
      <c r="U10" s="718"/>
      <c r="V10" s="718"/>
      <c r="W10" s="718"/>
      <c r="X10" s="718"/>
      <c r="Y10" s="718"/>
      <c r="Z10" s="718"/>
      <c r="AA10" s="718"/>
      <c r="AB10" s="718"/>
      <c r="AC10" s="718"/>
      <c r="AD10" s="718"/>
      <c r="AE10" s="718"/>
      <c r="AF10" s="718"/>
      <c r="AG10" s="718"/>
      <c r="AH10" s="718"/>
      <c r="AI10" s="718"/>
      <c r="AJ10" s="718"/>
      <c r="AK10" s="718"/>
      <c r="AL10" s="718"/>
      <c r="AM10" s="718"/>
    </row>
    <row r="11" spans="1:39" ht="15" customHeight="1">
      <c r="A11" s="1347" t="s">
        <v>251</v>
      </c>
      <c r="B11" s="1348"/>
      <c r="C11" s="1349" t="str">
        <f>'2-7'!D6</f>
        <v>[ PROJECT NAME ]</v>
      </c>
      <c r="D11" s="1349"/>
      <c r="E11" s="1348" t="s">
        <v>252</v>
      </c>
      <c r="F11" s="1348"/>
      <c r="G11" s="1349">
        <f>'2-7'!D1</f>
        <v>0</v>
      </c>
      <c r="H11" s="1350"/>
      <c r="K11" s="714"/>
      <c r="L11" s="714"/>
      <c r="M11" s="714"/>
      <c r="N11" s="715"/>
      <c r="O11" s="715"/>
      <c r="P11" s="715"/>
      <c r="Q11" s="715"/>
      <c r="R11" s="715"/>
      <c r="S11" s="715"/>
      <c r="T11" s="715"/>
      <c r="U11" s="715"/>
    </row>
    <row r="12" spans="1:39" ht="15" customHeight="1">
      <c r="A12" s="1347"/>
      <c r="B12" s="1348"/>
      <c r="C12" s="1349"/>
      <c r="D12" s="1349"/>
      <c r="E12" s="1348" t="s">
        <v>253</v>
      </c>
      <c r="F12" s="1348"/>
      <c r="G12" s="1349"/>
      <c r="H12" s="1350"/>
      <c r="K12" s="714"/>
      <c r="L12" s="714"/>
      <c r="M12" s="714"/>
      <c r="N12" s="715"/>
      <c r="O12" s="715"/>
      <c r="P12" s="715"/>
      <c r="Q12" s="715"/>
      <c r="R12" s="715"/>
      <c r="S12" s="715"/>
      <c r="T12" s="715"/>
      <c r="U12" s="715"/>
    </row>
    <row r="13" spans="1:39" ht="25.5" customHeight="1">
      <c r="A13" s="1347" t="s">
        <v>254</v>
      </c>
      <c r="B13" s="1348"/>
      <c r="C13" s="1361"/>
      <c r="D13" s="1361"/>
      <c r="E13" s="1362" t="s">
        <v>255</v>
      </c>
      <c r="F13" s="1362"/>
      <c r="G13" s="1363"/>
      <c r="H13" s="1364"/>
      <c r="K13" s="714"/>
      <c r="L13" s="714"/>
      <c r="M13" s="714"/>
      <c r="N13" s="715"/>
      <c r="O13" s="715"/>
      <c r="P13" s="715"/>
      <c r="Q13" s="715"/>
      <c r="R13" s="715"/>
      <c r="S13" s="715"/>
      <c r="T13" s="715"/>
      <c r="U13" s="715"/>
    </row>
    <row r="14" spans="1:39" ht="15" customHeight="1">
      <c r="A14" s="1347" t="s">
        <v>256</v>
      </c>
      <c r="B14" s="1348"/>
      <c r="C14" s="1349"/>
      <c r="D14" s="1349"/>
      <c r="E14" s="1362" t="s">
        <v>257</v>
      </c>
      <c r="F14" s="1362"/>
      <c r="G14" s="1363"/>
      <c r="H14" s="1364"/>
      <c r="K14" s="714"/>
      <c r="L14" s="714"/>
      <c r="M14" s="714"/>
      <c r="N14" s="715"/>
      <c r="O14" s="715"/>
      <c r="P14" s="715"/>
      <c r="Q14" s="715"/>
      <c r="R14" s="715"/>
      <c r="S14" s="715"/>
      <c r="T14" s="715"/>
      <c r="U14" s="715"/>
    </row>
    <row r="15" spans="1:39" ht="15" customHeight="1">
      <c r="A15" s="1347" t="s">
        <v>258</v>
      </c>
      <c r="B15" s="1348"/>
      <c r="C15" s="1349" t="str">
        <f>'2-7'!D9</f>
        <v>[ Contractor Company Name ]</v>
      </c>
      <c r="D15" s="1349"/>
      <c r="E15" s="1348" t="s">
        <v>259</v>
      </c>
      <c r="F15" s="1348"/>
      <c r="G15" s="1363" t="e">
        <f>'2-7'!X11+'2-7'!#REF!</f>
        <v>#REF!</v>
      </c>
      <c r="H15" s="1364"/>
      <c r="K15" s="714"/>
      <c r="L15" s="714"/>
      <c r="M15" s="714"/>
      <c r="N15" s="715"/>
      <c r="O15" s="715"/>
      <c r="P15" s="715"/>
      <c r="Q15" s="715"/>
      <c r="R15" s="715"/>
      <c r="S15" s="715"/>
      <c r="T15" s="715"/>
      <c r="U15" s="715"/>
    </row>
    <row r="16" spans="1:39" ht="4.3499999999999996" customHeight="1">
      <c r="A16" s="732"/>
      <c r="B16" s="733"/>
      <c r="C16" s="734"/>
      <c r="D16" s="734"/>
      <c r="E16" s="733"/>
      <c r="F16" s="733"/>
      <c r="G16" s="735"/>
      <c r="H16" s="736"/>
      <c r="I16" s="737"/>
      <c r="R16" s="715"/>
      <c r="S16" s="715"/>
      <c r="T16" s="715"/>
      <c r="U16" s="715"/>
    </row>
    <row r="17" spans="1:21" ht="9.75" customHeight="1">
      <c r="A17" s="1365"/>
      <c r="B17" s="1365"/>
      <c r="C17" s="1365"/>
      <c r="D17" s="1365"/>
      <c r="E17" s="1365"/>
      <c r="F17" s="1365"/>
      <c r="G17" s="1365"/>
      <c r="H17" s="1365"/>
      <c r="I17" s="738"/>
      <c r="R17" s="715"/>
      <c r="S17" s="715"/>
      <c r="T17" s="715"/>
      <c r="U17" s="715"/>
    </row>
    <row r="18" spans="1:21">
      <c r="A18" s="1366" t="s">
        <v>260</v>
      </c>
      <c r="B18" s="1367"/>
      <c r="C18" s="1367"/>
      <c r="D18" s="1367"/>
      <c r="E18" s="1367"/>
      <c r="F18" s="1367"/>
      <c r="G18" s="1367"/>
      <c r="H18" s="1368"/>
    </row>
    <row r="19" spans="1:21" ht="13.35" customHeight="1">
      <c r="A19" s="740" t="s">
        <v>261</v>
      </c>
      <c r="B19" s="1369" t="s">
        <v>262</v>
      </c>
      <c r="C19" s="1369"/>
      <c r="D19" s="739"/>
      <c r="E19" s="740" t="s">
        <v>261</v>
      </c>
      <c r="F19" s="741" t="s">
        <v>263</v>
      </c>
      <c r="G19" s="742"/>
      <c r="H19" s="743"/>
    </row>
    <row r="20" spans="1:21" ht="13.35" customHeight="1">
      <c r="A20" s="740" t="s">
        <v>261</v>
      </c>
      <c r="B20" s="1369" t="s">
        <v>264</v>
      </c>
      <c r="C20" s="1369"/>
      <c r="D20" s="744"/>
      <c r="E20" s="740" t="s">
        <v>261</v>
      </c>
      <c r="F20" s="745" t="s">
        <v>265</v>
      </c>
      <c r="G20" s="746"/>
      <c r="H20" s="747"/>
    </row>
    <row r="21" spans="1:21" ht="13.35" customHeight="1">
      <c r="A21" s="934" t="s">
        <v>266</v>
      </c>
      <c r="B21" s="1369" t="s">
        <v>267</v>
      </c>
      <c r="C21" s="1369"/>
      <c r="D21" s="744"/>
      <c r="E21" s="740" t="s">
        <v>261</v>
      </c>
      <c r="F21" s="745" t="s">
        <v>268</v>
      </c>
      <c r="G21" s="1370"/>
      <c r="H21" s="1371"/>
    </row>
    <row r="22" spans="1:21" ht="4.3499999999999996" customHeight="1">
      <c r="A22" s="748"/>
      <c r="B22" s="1373"/>
      <c r="C22" s="1373"/>
      <c r="D22" s="1278"/>
      <c r="E22" s="749"/>
      <c r="F22" s="750"/>
      <c r="G22" s="1374"/>
      <c r="H22" s="1375"/>
      <c r="J22" s="751"/>
      <c r="K22" s="752"/>
    </row>
    <row r="23" spans="1:21" ht="9.75" customHeight="1">
      <c r="A23" s="1376"/>
      <c r="B23" s="1376"/>
      <c r="C23" s="1376"/>
      <c r="D23" s="1376"/>
      <c r="E23" s="1376"/>
      <c r="F23" s="1376"/>
      <c r="G23" s="1376"/>
      <c r="H23" s="1376"/>
      <c r="J23" s="752"/>
      <c r="K23" s="752"/>
    </row>
    <row r="24" spans="1:21" ht="47.25" customHeight="1">
      <c r="A24" s="1377" t="s">
        <v>269</v>
      </c>
      <c r="B24" s="1378"/>
      <c r="C24" s="1378"/>
      <c r="D24" s="1379"/>
      <c r="E24" s="1379"/>
      <c r="F24" s="1379"/>
      <c r="G24" s="901" t="s">
        <v>270</v>
      </c>
      <c r="H24" s="902" t="s">
        <v>271</v>
      </c>
      <c r="J24" s="752"/>
      <c r="K24" s="752"/>
    </row>
    <row r="25" spans="1:21" ht="15" customHeight="1">
      <c r="A25" s="754"/>
      <c r="B25" s="1380" t="s">
        <v>272</v>
      </c>
      <c r="C25" s="1380"/>
      <c r="D25" s="1380"/>
      <c r="E25" s="1380"/>
      <c r="F25" s="1380"/>
      <c r="G25" s="900">
        <v>0.3</v>
      </c>
      <c r="H25" s="755">
        <v>0.42370000000000002</v>
      </c>
      <c r="J25" s="756">
        <f>G30</f>
        <v>3.5150000000000001E-2</v>
      </c>
      <c r="K25" s="757" t="e">
        <f>IF(H$39&gt;50000000,"SUBMIT",ROUND(H$39/100*H$42/365*J25,0))</f>
        <v>#REF!</v>
      </c>
      <c r="L25" s="758" t="s">
        <v>273</v>
      </c>
    </row>
    <row r="26" spans="1:21" ht="15" customHeight="1">
      <c r="A26" s="759"/>
      <c r="B26" s="1381" t="s">
        <v>274</v>
      </c>
      <c r="C26" s="1381"/>
      <c r="D26" s="1381"/>
      <c r="E26" s="1381"/>
      <c r="F26" s="1381"/>
      <c r="G26" s="900">
        <v>0.26600000000000001</v>
      </c>
      <c r="H26" s="760">
        <v>0.3458</v>
      </c>
      <c r="J26" s="756">
        <f>G28</f>
        <v>5.0999999999999997E-2</v>
      </c>
      <c r="K26" s="757" t="e">
        <f>IF(H$39&gt;50000000,"SUBMIT",ROUND(H$39/100*H$42/365*J26,0))</f>
        <v>#REF!</v>
      </c>
      <c r="L26" s="758" t="s">
        <v>275</v>
      </c>
    </row>
    <row r="27" spans="1:21" ht="15" customHeight="1">
      <c r="A27" s="759"/>
      <c r="B27" s="1381" t="s">
        <v>276</v>
      </c>
      <c r="C27" s="1381"/>
      <c r="D27" s="1381"/>
      <c r="E27" s="1381"/>
      <c r="F27" s="1381"/>
      <c r="G27" s="900">
        <v>7.0300000000000001E-2</v>
      </c>
      <c r="H27" s="760" t="s">
        <v>277</v>
      </c>
      <c r="J27" s="761" t="str">
        <f>H28</f>
        <v>N/A</v>
      </c>
      <c r="K27" s="762" t="e">
        <f>IF(H$39&gt;50000000,"SUBMIT",ROUND(H$39/100*H$42/365*J27,0))</f>
        <v>#REF!</v>
      </c>
      <c r="L27" s="758" t="s">
        <v>278</v>
      </c>
    </row>
    <row r="28" spans="1:21" ht="15" customHeight="1">
      <c r="A28" s="759"/>
      <c r="B28" s="1381" t="s">
        <v>279</v>
      </c>
      <c r="C28" s="1381"/>
      <c r="D28" s="1381"/>
      <c r="E28" s="1381"/>
      <c r="F28" s="1381"/>
      <c r="G28" s="1098">
        <v>5.0999999999999997E-2</v>
      </c>
      <c r="H28" s="760" t="s">
        <v>277</v>
      </c>
      <c r="J28" s="756">
        <f>G27</f>
        <v>7.0300000000000001E-2</v>
      </c>
      <c r="K28" s="757" t="e">
        <f>IF(H$39&gt;50000000,"SUBMIT",ROUND(H$39/100*H$42/365*J28,0))</f>
        <v>#REF!</v>
      </c>
      <c r="L28" s="758" t="s">
        <v>280</v>
      </c>
    </row>
    <row r="29" spans="1:21" ht="15" customHeight="1">
      <c r="A29" s="763"/>
      <c r="B29" s="1099" t="s">
        <v>281</v>
      </c>
      <c r="C29" s="1382" t="s">
        <v>282</v>
      </c>
      <c r="D29" s="1383"/>
      <c r="E29" s="1383"/>
      <c r="F29" s="1383"/>
      <c r="G29" s="1384"/>
      <c r="H29" s="1385"/>
      <c r="J29" s="756" t="str">
        <f>H27</f>
        <v>N/A</v>
      </c>
      <c r="K29" s="757" t="e">
        <f>IF(H$39&gt;50000000,"SUBMIT",ROUND(H$39/100*H$42/365*J29,0))</f>
        <v>#REF!</v>
      </c>
      <c r="L29" s="758" t="s">
        <v>283</v>
      </c>
    </row>
    <row r="30" spans="1:21" ht="15" customHeight="1">
      <c r="A30" s="763"/>
      <c r="B30" s="1386" t="s">
        <v>284</v>
      </c>
      <c r="C30" s="1386"/>
      <c r="D30" s="1386"/>
      <c r="E30" s="1386"/>
      <c r="F30" s="1386"/>
      <c r="G30" s="898">
        <v>3.5150000000000001E-2</v>
      </c>
      <c r="H30" s="764" t="s">
        <v>277</v>
      </c>
      <c r="I30" s="765"/>
      <c r="J30" s="756">
        <f>G26</f>
        <v>0.26600000000000001</v>
      </c>
      <c r="K30" s="757" t="e">
        <f>IF(H$39&gt;10000000,"SUBMIT",ROUND(H$39/100*H$42/365*J30,0))</f>
        <v>#REF!</v>
      </c>
      <c r="L30" s="758" t="s">
        <v>285</v>
      </c>
    </row>
    <row r="31" spans="1:21" ht="15" customHeight="1">
      <c r="A31" s="766"/>
      <c r="B31" s="1372" t="s">
        <v>286</v>
      </c>
      <c r="C31" s="1372"/>
      <c r="D31" s="1372"/>
      <c r="E31" s="1372"/>
      <c r="F31" s="1372"/>
      <c r="G31" s="899">
        <v>0.4</v>
      </c>
      <c r="H31" s="767" t="s">
        <v>277</v>
      </c>
      <c r="J31" s="756">
        <f>G25</f>
        <v>0.3</v>
      </c>
      <c r="K31" s="757" t="e">
        <f>IF(H$39&gt;25000000,"SUBMIT",ROUND(H$39/100*H$42/365*J31,0))</f>
        <v>#REF!</v>
      </c>
      <c r="L31" s="758" t="s">
        <v>287</v>
      </c>
    </row>
    <row r="32" spans="1:21" ht="22.5" customHeight="1">
      <c r="A32" s="1389" t="s">
        <v>288</v>
      </c>
      <c r="B32" s="1389"/>
      <c r="C32" s="1389"/>
      <c r="D32" s="1389"/>
      <c r="E32" s="1389"/>
      <c r="F32" s="1389"/>
      <c r="G32" s="1389"/>
      <c r="H32" s="1389"/>
      <c r="J32" s="756">
        <f>H26</f>
        <v>0.3458</v>
      </c>
      <c r="K32" s="757" t="e">
        <f>IF(H$39&gt;10000000,"SUBMIT",ROUND(H$39/100*H$42/365*J32,0))</f>
        <v>#REF!</v>
      </c>
      <c r="L32" s="758" t="s">
        <v>289</v>
      </c>
    </row>
    <row r="33" spans="1:21" ht="14.25" customHeight="1">
      <c r="A33" s="1390" t="s">
        <v>290</v>
      </c>
      <c r="B33" s="1390"/>
      <c r="C33" s="1390"/>
      <c r="D33" s="1390"/>
      <c r="E33" s="1390"/>
      <c r="F33" s="1390"/>
      <c r="G33" s="1390"/>
      <c r="H33" s="1390"/>
      <c r="J33" s="756">
        <f>H25</f>
        <v>0.42370000000000002</v>
      </c>
      <c r="K33" s="757" t="e">
        <f>IF(H$39&gt;25000000,"SUBMIT",ROUND(H$39/100*H$42/365*J33,0))</f>
        <v>#REF!</v>
      </c>
      <c r="L33" s="758" t="s">
        <v>291</v>
      </c>
    </row>
    <row r="34" spans="1:21" ht="14.25" customHeight="1">
      <c r="A34" s="768" t="s">
        <v>292</v>
      </c>
      <c r="B34" s="1387" t="s">
        <v>293</v>
      </c>
      <c r="C34" s="1387"/>
      <c r="D34" s="1387"/>
      <c r="E34" s="1387"/>
      <c r="F34" s="1387"/>
      <c r="G34" s="1391">
        <f>'2-7'!S14</f>
        <v>0</v>
      </c>
      <c r="H34" s="1391"/>
      <c r="J34" s="756"/>
      <c r="K34" s="757"/>
      <c r="L34" s="758"/>
    </row>
    <row r="35" spans="1:21" ht="14.25" customHeight="1">
      <c r="A35" s="768" t="s">
        <v>294</v>
      </c>
      <c r="B35" s="1387" t="s">
        <v>295</v>
      </c>
      <c r="C35" s="1387"/>
      <c r="D35" s="1387"/>
      <c r="E35" s="1387"/>
      <c r="F35" s="1387"/>
      <c r="G35" s="1392">
        <f>'2-7'!S15</f>
        <v>0</v>
      </c>
      <c r="H35" s="1392"/>
    </row>
    <row r="36" spans="1:21" ht="14.25" customHeight="1">
      <c r="A36" s="768" t="s">
        <v>296</v>
      </c>
      <c r="B36" s="1387" t="s">
        <v>297</v>
      </c>
      <c r="C36" s="1387"/>
      <c r="D36" s="1387"/>
      <c r="E36" s="1387"/>
      <c r="F36" s="1387"/>
      <c r="G36" s="1387"/>
      <c r="H36" s="822" t="e">
        <f>('2-7'!#REF!)</f>
        <v>#REF!</v>
      </c>
    </row>
    <row r="37" spans="1:21" ht="14.25" customHeight="1">
      <c r="A37" s="768"/>
      <c r="B37" s="1388" t="s">
        <v>298</v>
      </c>
      <c r="C37" s="1388"/>
      <c r="D37" s="1388"/>
      <c r="E37" s="1388"/>
      <c r="F37" s="1388"/>
      <c r="G37" s="1388"/>
      <c r="H37" s="811" t="s">
        <v>299</v>
      </c>
      <c r="J37" s="761"/>
      <c r="K37" s="762"/>
      <c r="L37" s="758"/>
    </row>
    <row r="38" spans="1:21" ht="14.25" customHeight="1">
      <c r="A38" s="768"/>
      <c r="B38" s="769" t="s">
        <v>300</v>
      </c>
      <c r="C38" s="1276"/>
      <c r="D38" s="1276"/>
      <c r="E38" s="1276"/>
      <c r="G38" s="812" t="s">
        <v>277</v>
      </c>
      <c r="H38" s="813"/>
      <c r="J38" s="761"/>
      <c r="K38" s="762"/>
      <c r="L38" s="758"/>
    </row>
    <row r="39" spans="1:21" ht="14.25" customHeight="1">
      <c r="A39" s="768" t="s">
        <v>301</v>
      </c>
      <c r="B39" s="1387" t="s">
        <v>302</v>
      </c>
      <c r="C39" s="1387"/>
      <c r="D39" s="1387"/>
      <c r="E39" s="1387"/>
      <c r="F39" s="1387"/>
      <c r="G39" s="1387"/>
      <c r="H39" s="770" t="e">
        <f>H36</f>
        <v>#REF!</v>
      </c>
    </row>
    <row r="40" spans="1:21" ht="14.25" customHeight="1">
      <c r="A40" s="768" t="s">
        <v>303</v>
      </c>
      <c r="B40" s="1387" t="s">
        <v>304</v>
      </c>
      <c r="C40" s="1387"/>
      <c r="D40" s="1387"/>
      <c r="E40" s="1387"/>
      <c r="F40" s="1387"/>
      <c r="G40" s="1387"/>
      <c r="H40" s="771">
        <v>0</v>
      </c>
    </row>
    <row r="41" spans="1:21" ht="14.25" customHeight="1">
      <c r="A41" s="768" t="s">
        <v>305</v>
      </c>
      <c r="B41" s="1387" t="s">
        <v>306</v>
      </c>
      <c r="C41" s="1387"/>
      <c r="D41" s="1387"/>
      <c r="E41" s="1387"/>
      <c r="F41" s="1387"/>
      <c r="G41" s="1387"/>
      <c r="H41" s="1097">
        <v>5.8000000000000003E-2</v>
      </c>
    </row>
    <row r="42" spans="1:21" s="775" customFormat="1" ht="14.25" customHeight="1">
      <c r="A42" s="768" t="s">
        <v>307</v>
      </c>
      <c r="B42" s="1387" t="s">
        <v>308</v>
      </c>
      <c r="C42" s="1387"/>
      <c r="D42" s="1387"/>
      <c r="E42" s="1387"/>
      <c r="F42" s="1387"/>
      <c r="G42" s="1387"/>
      <c r="H42" s="772">
        <f>IF(H41="","",G35-G34+1)</f>
        <v>1</v>
      </c>
      <c r="I42" s="773"/>
      <c r="J42" s="773"/>
      <c r="K42" s="773"/>
      <c r="L42" s="773"/>
      <c r="M42" s="773"/>
      <c r="N42" s="773"/>
      <c r="O42" s="773"/>
      <c r="P42" s="773"/>
      <c r="Q42" s="773"/>
      <c r="R42" s="774"/>
      <c r="S42" s="774"/>
      <c r="T42" s="774"/>
      <c r="U42" s="774"/>
    </row>
    <row r="43" spans="1:21" ht="14.25" customHeight="1">
      <c r="A43" s="768" t="s">
        <v>309</v>
      </c>
      <c r="B43" s="1387" t="s">
        <v>310</v>
      </c>
      <c r="C43" s="1387"/>
      <c r="D43" s="1387"/>
      <c r="E43" s="1387"/>
      <c r="F43" s="1387"/>
      <c r="G43" s="1387"/>
      <c r="H43" s="776" t="e">
        <f>ROUND(H$39*H41/100*H$42/365,0)</f>
        <v>#REF!</v>
      </c>
    </row>
    <row r="44" spans="1:21" s="775" customFormat="1" ht="14.25" customHeight="1">
      <c r="A44" s="768" t="s">
        <v>311</v>
      </c>
      <c r="B44" s="1387" t="s">
        <v>312</v>
      </c>
      <c r="C44" s="1387"/>
      <c r="D44" s="1387"/>
      <c r="E44" s="1387"/>
      <c r="F44" s="1387"/>
      <c r="G44" s="1387"/>
      <c r="H44" s="776">
        <f>ROUND(H$40*G30/100*H$42/365,0)</f>
        <v>0</v>
      </c>
      <c r="I44" s="773"/>
      <c r="J44" s="773"/>
      <c r="K44" s="773"/>
      <c r="L44" s="773"/>
      <c r="M44" s="773"/>
      <c r="N44" s="773"/>
      <c r="O44" s="773"/>
      <c r="P44" s="773"/>
      <c r="Q44" s="773"/>
      <c r="R44" s="774"/>
      <c r="S44" s="774"/>
      <c r="T44" s="774"/>
      <c r="U44" s="774"/>
    </row>
    <row r="45" spans="1:21" ht="14.25" customHeight="1">
      <c r="A45" s="768" t="s">
        <v>313</v>
      </c>
      <c r="B45" s="1276" t="s">
        <v>314</v>
      </c>
      <c r="C45" s="1276"/>
      <c r="D45" s="1276"/>
      <c r="E45" s="1276"/>
      <c r="F45" s="1276"/>
      <c r="G45" s="1276"/>
      <c r="H45" s="817" t="e">
        <f>IF(H43="","",ROUND((H43+H44)*0.032,2))</f>
        <v>#REF!</v>
      </c>
    </row>
    <row r="46" spans="1:21" s="780" customFormat="1" ht="14.25" customHeight="1">
      <c r="A46" s="768" t="s">
        <v>315</v>
      </c>
      <c r="B46" s="1387" t="s">
        <v>316</v>
      </c>
      <c r="C46" s="1387"/>
      <c r="D46" s="1387"/>
      <c r="E46" s="1387"/>
      <c r="F46" s="1387"/>
      <c r="G46" s="1387"/>
      <c r="H46" s="826" t="e">
        <f>IF(H43="","",H43+H44+H45)</f>
        <v>#REF!</v>
      </c>
      <c r="I46" s="778"/>
      <c r="J46" s="778"/>
      <c r="K46" s="778"/>
      <c r="L46" s="778"/>
      <c r="M46" s="778"/>
      <c r="N46" s="778"/>
      <c r="O46" s="778"/>
      <c r="P46" s="778"/>
      <c r="Q46" s="778"/>
      <c r="R46" s="779"/>
      <c r="S46" s="779"/>
      <c r="T46" s="779"/>
      <c r="U46" s="779"/>
    </row>
    <row r="47" spans="1:21" ht="14.25" customHeight="1" thickBot="1">
      <c r="A47" s="768" t="s">
        <v>317</v>
      </c>
      <c r="B47" s="1387" t="s">
        <v>318</v>
      </c>
      <c r="C47" s="1387"/>
      <c r="D47" s="1387"/>
      <c r="E47" s="1387"/>
      <c r="F47" s="1387"/>
      <c r="G47" s="1387"/>
      <c r="H47" s="827" t="e">
        <f>IF(H43="","",ROUND(H39/100*0.1,0))</f>
        <v>#REF!</v>
      </c>
    </row>
    <row r="48" spans="1:21" ht="14.25" customHeight="1" thickBot="1">
      <c r="A48" s="781" t="s">
        <v>319</v>
      </c>
      <c r="B48" s="1393" t="s">
        <v>320</v>
      </c>
      <c r="C48" s="1393"/>
      <c r="D48" s="1393"/>
      <c r="E48" s="1393"/>
      <c r="F48" s="1393"/>
      <c r="G48" s="1393"/>
      <c r="H48" s="782" t="e">
        <f>IF(H43="","",H46+H47)</f>
        <v>#REF!</v>
      </c>
    </row>
    <row r="49" spans="1:8" ht="9.6" customHeight="1">
      <c r="A49" s="781"/>
      <c r="B49" s="1277"/>
      <c r="C49" s="1277"/>
      <c r="D49" s="1277"/>
      <c r="E49" s="1277"/>
      <c r="F49" s="1277"/>
      <c r="G49" s="1277"/>
      <c r="H49" s="783"/>
    </row>
    <row r="50" spans="1:8" ht="14.1" customHeight="1">
      <c r="A50" s="784"/>
      <c r="B50" s="1394"/>
      <c r="C50" s="1394"/>
      <c r="D50" s="1394"/>
      <c r="E50" s="1394"/>
      <c r="F50" s="784"/>
      <c r="G50" s="1395"/>
      <c r="H50" s="1395"/>
    </row>
    <row r="51" spans="1:8" ht="14.1" customHeight="1">
      <c r="A51" s="775"/>
      <c r="B51" s="1397" t="s">
        <v>321</v>
      </c>
      <c r="C51" s="1397"/>
      <c r="D51" s="1397"/>
      <c r="E51" s="1397"/>
      <c r="F51" s="1274"/>
      <c r="G51" s="1398" t="s">
        <v>322</v>
      </c>
      <c r="H51" s="1398"/>
    </row>
    <row r="52" spans="1:8" ht="14.1" customHeight="1">
      <c r="A52" s="784"/>
      <c r="B52" s="1399"/>
      <c r="C52" s="1394"/>
      <c r="D52" s="1394"/>
      <c r="E52" s="1394"/>
      <c r="F52" s="784"/>
      <c r="G52" s="1394"/>
      <c r="H52" s="1394"/>
    </row>
    <row r="53" spans="1:8" ht="14.1" customHeight="1" thickBot="1">
      <c r="A53" s="785"/>
      <c r="B53" s="1400" t="s">
        <v>323</v>
      </c>
      <c r="C53" s="1400"/>
      <c r="D53" s="1400"/>
      <c r="E53" s="1400"/>
      <c r="F53" s="1275"/>
      <c r="G53" s="1400" t="s">
        <v>324</v>
      </c>
      <c r="H53" s="1400"/>
    </row>
    <row r="54" spans="1:8">
      <c r="A54" s="1396" t="s">
        <v>325</v>
      </c>
      <c r="B54" s="1396"/>
      <c r="C54" s="1396"/>
      <c r="D54" s="1396"/>
      <c r="E54" s="1396"/>
      <c r="F54" s="1396"/>
      <c r="G54" s="1396"/>
      <c r="H54" s="1396"/>
    </row>
    <row r="55" spans="1:8">
      <c r="A55" s="786" t="s">
        <v>326</v>
      </c>
      <c r="B55" s="787"/>
      <c r="C55" s="788"/>
      <c r="D55" s="788"/>
      <c r="E55" s="788"/>
      <c r="F55" s="786" t="s">
        <v>327</v>
      </c>
      <c r="G55" s="788"/>
      <c r="H55" s="788"/>
    </row>
    <row r="56" spans="1:8" ht="12.75" customHeight="1">
      <c r="A56" s="789" t="s">
        <v>328</v>
      </c>
      <c r="B56" s="790"/>
      <c r="C56" s="790"/>
      <c r="D56" s="791" t="s">
        <v>329</v>
      </c>
      <c r="F56" s="792" t="s">
        <v>330</v>
      </c>
      <c r="G56" s="790"/>
      <c r="H56" s="793"/>
    </row>
    <row r="57" spans="1:8">
      <c r="A57" s="794" t="s">
        <v>331</v>
      </c>
      <c r="B57" s="125"/>
      <c r="C57" s="125"/>
      <c r="D57" s="793"/>
      <c r="F57" s="795" t="s">
        <v>332</v>
      </c>
      <c r="G57" s="127"/>
      <c r="H57" s="793"/>
    </row>
    <row r="58" spans="1:8">
      <c r="A58" s="796" t="s">
        <v>333</v>
      </c>
      <c r="B58" s="797"/>
      <c r="C58" s="797"/>
      <c r="D58" s="793"/>
      <c r="F58" s="798" t="s">
        <v>334</v>
      </c>
      <c r="G58" s="797"/>
      <c r="H58" s="793"/>
    </row>
  </sheetData>
  <mergeCells count="75">
    <mergeCell ref="A54:H54"/>
    <mergeCell ref="B51:E51"/>
    <mergeCell ref="G51:H51"/>
    <mergeCell ref="B52:E52"/>
    <mergeCell ref="G52:H52"/>
    <mergeCell ref="B53:E53"/>
    <mergeCell ref="G53:H53"/>
    <mergeCell ref="B44:G44"/>
    <mergeCell ref="B46:G46"/>
    <mergeCell ref="B47:G47"/>
    <mergeCell ref="B48:G48"/>
    <mergeCell ref="B50:E50"/>
    <mergeCell ref="G50:H50"/>
    <mergeCell ref="B43:G43"/>
    <mergeCell ref="B37:G37"/>
    <mergeCell ref="A32:H32"/>
    <mergeCell ref="A33:H33"/>
    <mergeCell ref="B34:F34"/>
    <mergeCell ref="G34:H34"/>
    <mergeCell ref="B35:F35"/>
    <mergeCell ref="G35:H35"/>
    <mergeCell ref="B36:G36"/>
    <mergeCell ref="B39:G39"/>
    <mergeCell ref="B40:G40"/>
    <mergeCell ref="B41:G41"/>
    <mergeCell ref="B42:G42"/>
    <mergeCell ref="B31:F31"/>
    <mergeCell ref="B22:C22"/>
    <mergeCell ref="G22:H22"/>
    <mergeCell ref="A23:H23"/>
    <mergeCell ref="A24:F24"/>
    <mergeCell ref="B25:F25"/>
    <mergeCell ref="B26:F26"/>
    <mergeCell ref="B27:F27"/>
    <mergeCell ref="B28:F28"/>
    <mergeCell ref="C29:F29"/>
    <mergeCell ref="G29:H29"/>
    <mergeCell ref="B30:F30"/>
    <mergeCell ref="A17:H17"/>
    <mergeCell ref="A18:H18"/>
    <mergeCell ref="B19:C19"/>
    <mergeCell ref="B20:C20"/>
    <mergeCell ref="B21:C21"/>
    <mergeCell ref="G21:H21"/>
    <mergeCell ref="A14:B14"/>
    <mergeCell ref="C14:D14"/>
    <mergeCell ref="E14:F14"/>
    <mergeCell ref="G14:H14"/>
    <mergeCell ref="A15:B15"/>
    <mergeCell ref="C15:D15"/>
    <mergeCell ref="E15:F15"/>
    <mergeCell ref="G15:H15"/>
    <mergeCell ref="A12:B12"/>
    <mergeCell ref="C12:D12"/>
    <mergeCell ref="E12:F12"/>
    <mergeCell ref="G12:H12"/>
    <mergeCell ref="A13:B13"/>
    <mergeCell ref="C13:D13"/>
    <mergeCell ref="E13:F13"/>
    <mergeCell ref="G13:H13"/>
    <mergeCell ref="A11:B11"/>
    <mergeCell ref="C11:D11"/>
    <mergeCell ref="E11:F11"/>
    <mergeCell ref="G11:H11"/>
    <mergeCell ref="A1:H1"/>
    <mergeCell ref="A2:H2"/>
    <mergeCell ref="A3:H3"/>
    <mergeCell ref="A4:H4"/>
    <mergeCell ref="A5:H5"/>
    <mergeCell ref="A6:H6"/>
    <mergeCell ref="A8:H8"/>
    <mergeCell ref="A10:B10"/>
    <mergeCell ref="C10:D10"/>
    <mergeCell ref="E10:F10"/>
    <mergeCell ref="G10:H10"/>
  </mergeCells>
  <printOptions horizontalCentered="1"/>
  <pageMargins left="0.47" right="0.25" top="0.45" bottom="0.45" header="0.17" footer="0.17"/>
  <pageSetup scale="84" orientation="portrait" horizontalDpi="300" verticalDpi="300" r:id="rId1"/>
  <headerFooter alignWithMargins="0">
    <oddFooter>&amp;R&amp;8&amp;F</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0">
    <pageSetUpPr fitToPage="1"/>
  </sheetPr>
  <dimension ref="A1:AM59"/>
  <sheetViews>
    <sheetView workbookViewId="0">
      <selection sqref="A1:H1"/>
    </sheetView>
  </sheetViews>
  <sheetFormatPr defaultRowHeight="12.75"/>
  <cols>
    <col min="1" max="1" width="4" style="715" customWidth="1"/>
    <col min="2" max="2" width="15.5" style="715" customWidth="1"/>
    <col min="3" max="3" width="14.1640625" style="715" customWidth="1"/>
    <col min="4" max="4" width="23.83203125" style="715" customWidth="1"/>
    <col min="5" max="5" width="5.6640625" style="715" customWidth="1"/>
    <col min="6" max="6" width="15.83203125" style="715" customWidth="1"/>
    <col min="7" max="7" width="13" style="715" customWidth="1"/>
    <col min="8" max="8" width="17.6640625" style="715" customWidth="1"/>
    <col min="9" max="10" width="9.33203125" style="713"/>
    <col min="11" max="11" width="14.83203125" style="713" bestFit="1" customWidth="1"/>
    <col min="12" max="12" width="45.6640625" style="713" customWidth="1"/>
    <col min="13" max="17" width="9.33203125" style="713"/>
    <col min="18" max="21" width="9.33203125" style="714"/>
    <col min="22" max="16384" width="9.33203125" style="715"/>
  </cols>
  <sheetData>
    <row r="1" spans="1:39" ht="17.25" customHeight="1">
      <c r="A1" s="1351" t="s">
        <v>240</v>
      </c>
      <c r="B1" s="1351"/>
      <c r="C1" s="1351"/>
      <c r="D1" s="1351"/>
      <c r="E1" s="1351"/>
      <c r="F1" s="1351"/>
      <c r="G1" s="1351"/>
      <c r="H1" s="1351"/>
    </row>
    <row r="2" spans="1:39" ht="12.75" customHeight="1">
      <c r="A2" s="1352" t="s">
        <v>241</v>
      </c>
      <c r="B2" s="1352"/>
      <c r="C2" s="1352"/>
      <c r="D2" s="1352"/>
      <c r="E2" s="1352"/>
      <c r="F2" s="1352"/>
      <c r="G2" s="1352"/>
      <c r="H2" s="1352"/>
    </row>
    <row r="3" spans="1:39" ht="12.75" customHeight="1">
      <c r="A3" s="1353" t="s">
        <v>242</v>
      </c>
      <c r="B3" s="1353"/>
      <c r="C3" s="1353"/>
      <c r="D3" s="1353"/>
      <c r="E3" s="1353"/>
      <c r="F3" s="1353"/>
      <c r="G3" s="1353"/>
      <c r="H3" s="1353"/>
    </row>
    <row r="4" spans="1:39" ht="12.75" customHeight="1">
      <c r="A4" s="1354" t="s">
        <v>243</v>
      </c>
      <c r="B4" s="1354"/>
      <c r="C4" s="1354"/>
      <c r="D4" s="1354"/>
      <c r="E4" s="1354"/>
      <c r="F4" s="1354"/>
      <c r="G4" s="1354"/>
      <c r="H4" s="1354"/>
    </row>
    <row r="5" spans="1:39" ht="10.35" customHeight="1">
      <c r="A5" s="1355"/>
      <c r="B5" s="1355"/>
      <c r="C5" s="1355"/>
      <c r="D5" s="1355"/>
      <c r="E5" s="1355"/>
      <c r="F5" s="1355"/>
      <c r="G5" s="1355"/>
      <c r="H5" s="1355"/>
      <c r="M5" s="716"/>
      <c r="N5" s="716"/>
      <c r="O5" s="716"/>
      <c r="P5" s="716"/>
      <c r="Q5" s="716"/>
      <c r="R5" s="717"/>
      <c r="S5" s="717"/>
      <c r="T5" s="717"/>
      <c r="U5" s="717"/>
      <c r="V5" s="718"/>
      <c r="W5" s="718"/>
      <c r="X5" s="718"/>
      <c r="Y5" s="718"/>
      <c r="Z5" s="718"/>
      <c r="AA5" s="718"/>
      <c r="AB5" s="718"/>
      <c r="AC5" s="718"/>
      <c r="AD5" s="718"/>
      <c r="AE5" s="718"/>
      <c r="AF5" s="718"/>
      <c r="AG5" s="718"/>
      <c r="AH5" s="718"/>
      <c r="AI5" s="718"/>
      <c r="AJ5" s="718"/>
      <c r="AK5" s="718"/>
      <c r="AL5" s="718"/>
      <c r="AM5" s="718"/>
    </row>
    <row r="6" spans="1:39" s="722" customFormat="1" ht="12.6" customHeight="1">
      <c r="A6" s="1356" t="s">
        <v>244</v>
      </c>
      <c r="B6" s="1357"/>
      <c r="C6" s="1357"/>
      <c r="D6" s="1357"/>
      <c r="E6" s="1357"/>
      <c r="F6" s="1357"/>
      <c r="G6" s="1357"/>
      <c r="H6" s="1358"/>
      <c r="I6" s="719"/>
      <c r="J6" s="720"/>
      <c r="K6" s="720"/>
      <c r="L6" s="720"/>
      <c r="M6" s="799"/>
      <c r="N6" s="799"/>
      <c r="O6" s="799"/>
      <c r="P6" s="799"/>
      <c r="Q6" s="799"/>
    </row>
    <row r="7" spans="1:39" s="803" customFormat="1" ht="12" customHeight="1">
      <c r="A7" s="723"/>
      <c r="B7" s="932" t="s">
        <v>335</v>
      </c>
      <c r="C7" s="724"/>
      <c r="D7" s="932" t="s">
        <v>336</v>
      </c>
      <c r="E7" s="932" t="s">
        <v>247</v>
      </c>
      <c r="F7" s="932"/>
      <c r="G7" s="724"/>
      <c r="H7" s="933" t="s">
        <v>248</v>
      </c>
      <c r="I7" s="800"/>
      <c r="J7" s="801"/>
      <c r="K7" s="801"/>
      <c r="L7" s="801"/>
      <c r="M7" s="802"/>
      <c r="N7" s="802"/>
      <c r="O7" s="802"/>
      <c r="P7" s="802"/>
      <c r="Q7" s="802"/>
    </row>
    <row r="8" spans="1:39" ht="10.35" customHeight="1">
      <c r="A8" s="1355"/>
      <c r="B8" s="1355"/>
      <c r="C8" s="1355"/>
      <c r="D8" s="1355"/>
      <c r="E8" s="1355"/>
      <c r="F8" s="1355"/>
      <c r="G8" s="1355"/>
      <c r="H8" s="1355"/>
    </row>
    <row r="9" spans="1:39" ht="14.45" customHeight="1">
      <c r="A9" s="729" t="s">
        <v>249</v>
      </c>
      <c r="B9" s="730"/>
      <c r="C9" s="730"/>
      <c r="D9" s="730"/>
      <c r="E9" s="730"/>
      <c r="F9" s="730"/>
      <c r="G9" s="730"/>
      <c r="H9" s="731"/>
    </row>
    <row r="10" spans="1:39" ht="15" customHeight="1">
      <c r="A10" s="1347" t="s">
        <v>17</v>
      </c>
      <c r="B10" s="1348"/>
      <c r="C10" s="1359"/>
      <c r="D10" s="1359"/>
      <c r="E10" s="1348" t="s">
        <v>250</v>
      </c>
      <c r="F10" s="1348"/>
      <c r="G10" s="1359"/>
      <c r="H10" s="1360"/>
    </row>
    <row r="11" spans="1:39" ht="15" customHeight="1">
      <c r="A11" s="1347" t="s">
        <v>251</v>
      </c>
      <c r="B11" s="1348"/>
      <c r="C11" s="1349" t="str">
        <f>'2-7'!D6</f>
        <v>[ PROJECT NAME ]</v>
      </c>
      <c r="D11" s="1349"/>
      <c r="E11" s="1348" t="s">
        <v>252</v>
      </c>
      <c r="F11" s="1348"/>
      <c r="G11" s="1349">
        <f>'2-7'!D1</f>
        <v>0</v>
      </c>
      <c r="H11" s="1350"/>
    </row>
    <row r="12" spans="1:39" ht="15" customHeight="1">
      <c r="A12" s="1347"/>
      <c r="B12" s="1348"/>
      <c r="C12" s="1349"/>
      <c r="D12" s="1349"/>
      <c r="E12" s="1348" t="s">
        <v>253</v>
      </c>
      <c r="F12" s="1348"/>
      <c r="G12" s="1349"/>
      <c r="H12" s="1350"/>
    </row>
    <row r="13" spans="1:39" ht="25.5" customHeight="1">
      <c r="A13" s="1347" t="s">
        <v>254</v>
      </c>
      <c r="B13" s="1348"/>
      <c r="C13" s="1361"/>
      <c r="D13" s="1361"/>
      <c r="E13" s="1362" t="s">
        <v>255</v>
      </c>
      <c r="F13" s="1362"/>
      <c r="G13" s="1363"/>
      <c r="H13" s="1364"/>
    </row>
    <row r="14" spans="1:39" ht="15" customHeight="1">
      <c r="A14" s="1347" t="s">
        <v>256</v>
      </c>
      <c r="B14" s="1348"/>
      <c r="C14" s="1349"/>
      <c r="D14" s="1349"/>
      <c r="E14" s="1362" t="s">
        <v>257</v>
      </c>
      <c r="F14" s="1362"/>
      <c r="G14" s="1363"/>
      <c r="H14" s="1364"/>
    </row>
    <row r="15" spans="1:39" ht="15" customHeight="1">
      <c r="A15" s="1347" t="s">
        <v>258</v>
      </c>
      <c r="B15" s="1348"/>
      <c r="C15" s="1349" t="str">
        <f>'2-7'!D9</f>
        <v>[ Contractor Company Name ]</v>
      </c>
      <c r="D15" s="1349"/>
      <c r="E15" s="1348" t="s">
        <v>259</v>
      </c>
      <c r="F15" s="1348"/>
      <c r="G15" s="1363" t="e">
        <f>'2-7'!X11+'2-7'!#REF!</f>
        <v>#REF!</v>
      </c>
      <c r="H15" s="1364"/>
    </row>
    <row r="16" spans="1:39" ht="4.3499999999999996" customHeight="1">
      <c r="A16" s="732"/>
      <c r="B16" s="733"/>
      <c r="C16" s="734"/>
      <c r="D16" s="734"/>
      <c r="E16" s="733"/>
      <c r="F16" s="733"/>
      <c r="G16" s="735"/>
      <c r="H16" s="736"/>
    </row>
    <row r="17" spans="1:21" ht="10.35" customHeight="1">
      <c r="A17" s="1365"/>
      <c r="B17" s="1365"/>
      <c r="C17" s="1365"/>
      <c r="D17" s="1365"/>
      <c r="E17" s="1365"/>
      <c r="F17" s="1365"/>
      <c r="G17" s="1365"/>
      <c r="H17" s="1365"/>
    </row>
    <row r="18" spans="1:21" ht="12.75" customHeight="1">
      <c r="A18" s="1366" t="s">
        <v>260</v>
      </c>
      <c r="B18" s="1367"/>
      <c r="C18" s="1367"/>
      <c r="D18" s="1367"/>
      <c r="E18" s="1367"/>
      <c r="F18" s="1367"/>
      <c r="G18" s="1367"/>
      <c r="H18" s="1368"/>
      <c r="I18" s="737"/>
      <c r="R18" s="715"/>
      <c r="S18" s="715"/>
      <c r="T18" s="715"/>
      <c r="U18" s="715"/>
    </row>
    <row r="19" spans="1:21" ht="13.35" customHeight="1">
      <c r="A19" s="740" t="s">
        <v>261</v>
      </c>
      <c r="B19" s="1369" t="s">
        <v>262</v>
      </c>
      <c r="C19" s="1369"/>
      <c r="D19" s="739"/>
      <c r="E19" s="740" t="s">
        <v>261</v>
      </c>
      <c r="F19" s="741" t="s">
        <v>263</v>
      </c>
      <c r="G19" s="742"/>
      <c r="H19" s="743"/>
      <c r="I19" s="738"/>
      <c r="R19" s="715"/>
      <c r="S19" s="715"/>
      <c r="T19" s="715"/>
      <c r="U19" s="715"/>
    </row>
    <row r="20" spans="1:21" ht="13.35" customHeight="1">
      <c r="A20" s="740" t="s">
        <v>261</v>
      </c>
      <c r="B20" s="1369" t="s">
        <v>264</v>
      </c>
      <c r="C20" s="1369"/>
      <c r="D20" s="744"/>
      <c r="E20" s="740" t="s">
        <v>261</v>
      </c>
      <c r="F20" s="745" t="s">
        <v>265</v>
      </c>
      <c r="G20" s="746"/>
      <c r="H20" s="747"/>
      <c r="I20" s="804"/>
      <c r="R20" s="715"/>
      <c r="S20" s="715"/>
      <c r="T20" s="715"/>
      <c r="U20" s="715"/>
    </row>
    <row r="21" spans="1:21" s="807" customFormat="1" ht="13.35" customHeight="1">
      <c r="A21" s="740" t="s">
        <v>266</v>
      </c>
      <c r="B21" s="1369" t="s">
        <v>267</v>
      </c>
      <c r="C21" s="1369"/>
      <c r="D21" s="744"/>
      <c r="E21" s="740" t="s">
        <v>261</v>
      </c>
      <c r="F21" s="745" t="s">
        <v>268</v>
      </c>
      <c r="G21" s="1401"/>
      <c r="H21" s="1402"/>
      <c r="I21" s="805"/>
      <c r="J21" s="806"/>
      <c r="K21" s="806"/>
      <c r="L21" s="806"/>
      <c r="M21" s="806"/>
      <c r="N21" s="806"/>
      <c r="O21" s="806"/>
      <c r="P21" s="806"/>
      <c r="Q21" s="806"/>
    </row>
    <row r="22" spans="1:21" s="807" customFormat="1" ht="4.3499999999999996" customHeight="1">
      <c r="A22" s="748"/>
      <c r="B22" s="1373"/>
      <c r="C22" s="1373"/>
      <c r="D22" s="1278"/>
      <c r="E22" s="749"/>
      <c r="F22" s="750"/>
      <c r="G22" s="1374"/>
      <c r="H22" s="1375"/>
      <c r="I22" s="805"/>
      <c r="J22" s="806"/>
      <c r="K22" s="806"/>
      <c r="L22" s="806"/>
      <c r="M22" s="806"/>
      <c r="N22" s="806"/>
      <c r="O22" s="806"/>
      <c r="P22" s="806"/>
      <c r="Q22" s="806"/>
    </row>
    <row r="23" spans="1:21" s="810" customFormat="1" ht="10.35" customHeight="1">
      <c r="A23" s="1376"/>
      <c r="B23" s="1376"/>
      <c r="C23" s="1376"/>
      <c r="D23" s="1376"/>
      <c r="E23" s="1376"/>
      <c r="F23" s="1376"/>
      <c r="G23" s="1376"/>
      <c r="H23" s="1376"/>
      <c r="I23" s="719"/>
      <c r="J23" s="808"/>
      <c r="K23" s="808"/>
      <c r="L23" s="808"/>
      <c r="M23" s="809"/>
      <c r="N23" s="809"/>
      <c r="O23" s="809"/>
      <c r="P23" s="809"/>
      <c r="Q23" s="809"/>
    </row>
    <row r="24" spans="1:21" ht="47.25" customHeight="1">
      <c r="A24" s="1377" t="s">
        <v>269</v>
      </c>
      <c r="B24" s="1378"/>
      <c r="C24" s="1378"/>
      <c r="D24" s="1379"/>
      <c r="E24" s="1379"/>
      <c r="F24" s="1379"/>
      <c r="G24" s="901" t="s">
        <v>270</v>
      </c>
      <c r="H24" s="902" t="s">
        <v>271</v>
      </c>
    </row>
    <row r="25" spans="1:21" ht="15" customHeight="1">
      <c r="A25" s="754"/>
      <c r="B25" s="1380" t="s">
        <v>272</v>
      </c>
      <c r="C25" s="1380"/>
      <c r="D25" s="1380"/>
      <c r="E25" s="1380"/>
      <c r="F25" s="1380"/>
      <c r="G25" s="900">
        <v>0.3</v>
      </c>
      <c r="H25" s="755">
        <v>0.42370000000000002</v>
      </c>
    </row>
    <row r="26" spans="1:21" ht="15" customHeight="1">
      <c r="A26" s="759"/>
      <c r="B26" s="1381" t="s">
        <v>274</v>
      </c>
      <c r="C26" s="1381"/>
      <c r="D26" s="1381"/>
      <c r="E26" s="1381"/>
      <c r="F26" s="1381"/>
      <c r="G26" s="900">
        <v>0.26600000000000001</v>
      </c>
      <c r="H26" s="760">
        <v>0.3458</v>
      </c>
    </row>
    <row r="27" spans="1:21" ht="15" customHeight="1">
      <c r="A27" s="759"/>
      <c r="B27" s="1381" t="s">
        <v>276</v>
      </c>
      <c r="C27" s="1381"/>
      <c r="D27" s="1381"/>
      <c r="E27" s="1381"/>
      <c r="F27" s="1381"/>
      <c r="G27" s="900">
        <v>7.0300000000000001E-2</v>
      </c>
      <c r="H27" s="760" t="s">
        <v>277</v>
      </c>
    </row>
    <row r="28" spans="1:21" ht="15" customHeight="1">
      <c r="A28" s="759"/>
      <c r="B28" s="1381" t="s">
        <v>279</v>
      </c>
      <c r="C28" s="1381"/>
      <c r="D28" s="1381"/>
      <c r="E28" s="1381"/>
      <c r="F28" s="1381"/>
      <c r="G28" s="1098">
        <v>5.0999999999999997E-2</v>
      </c>
      <c r="H28" s="760" t="s">
        <v>277</v>
      </c>
    </row>
    <row r="29" spans="1:21" ht="15" customHeight="1">
      <c r="A29" s="763"/>
      <c r="B29" s="1099" t="s">
        <v>281</v>
      </c>
      <c r="C29" s="1382" t="s">
        <v>282</v>
      </c>
      <c r="D29" s="1383"/>
      <c r="E29" s="1383"/>
      <c r="F29" s="1383"/>
      <c r="G29" s="1384"/>
      <c r="H29" s="1385"/>
    </row>
    <row r="30" spans="1:21" ht="15" customHeight="1">
      <c r="A30" s="763"/>
      <c r="B30" s="1386" t="s">
        <v>284</v>
      </c>
      <c r="C30" s="1386"/>
      <c r="D30" s="1386"/>
      <c r="E30" s="1386"/>
      <c r="F30" s="1386"/>
      <c r="G30" s="898">
        <v>3.5150000000000001E-2</v>
      </c>
      <c r="H30" s="764" t="s">
        <v>277</v>
      </c>
    </row>
    <row r="31" spans="1:21" ht="15" customHeight="1">
      <c r="A31" s="766"/>
      <c r="B31" s="1372" t="s">
        <v>286</v>
      </c>
      <c r="C31" s="1372"/>
      <c r="D31" s="1372"/>
      <c r="E31" s="1372"/>
      <c r="F31" s="1372"/>
      <c r="G31" s="899">
        <v>0.4</v>
      </c>
      <c r="H31" s="767" t="s">
        <v>277</v>
      </c>
      <c r="J31" s="751"/>
      <c r="K31" s="752"/>
    </row>
    <row r="32" spans="1:21" ht="22.5" customHeight="1">
      <c r="A32" s="1389" t="s">
        <v>288</v>
      </c>
      <c r="B32" s="1389"/>
      <c r="C32" s="1389"/>
      <c r="D32" s="1389"/>
      <c r="E32" s="1389"/>
      <c r="F32" s="1389"/>
      <c r="G32" s="1389"/>
      <c r="H32" s="1389"/>
      <c r="J32" s="752"/>
      <c r="K32" s="752"/>
    </row>
    <row r="33" spans="1:12" ht="14.25" customHeight="1">
      <c r="A33" s="1390" t="s">
        <v>290</v>
      </c>
      <c r="B33" s="1390"/>
      <c r="C33" s="1390"/>
      <c r="D33" s="1390"/>
      <c r="E33" s="1390"/>
      <c r="F33" s="1390"/>
      <c r="G33" s="1390"/>
      <c r="H33" s="1390"/>
      <c r="J33" s="752"/>
      <c r="K33" s="752"/>
    </row>
    <row r="34" spans="1:12" ht="14.25" customHeight="1">
      <c r="A34" s="768" t="s">
        <v>292</v>
      </c>
      <c r="B34" s="1387" t="s">
        <v>337</v>
      </c>
      <c r="C34" s="1387"/>
      <c r="D34" s="1387"/>
      <c r="E34" s="1387"/>
      <c r="F34" s="1387"/>
      <c r="G34" s="1391">
        <f>'2-7'!S14</f>
        <v>0</v>
      </c>
      <c r="H34" s="1391"/>
      <c r="J34" s="756">
        <f>G30</f>
        <v>3.5150000000000001E-2</v>
      </c>
      <c r="K34" s="757" t="e">
        <f>IF(H$39&gt;50000000,"SUBMIT",ROUND(H$39/100*H$42/365*J34,0))</f>
        <v>#REF!</v>
      </c>
      <c r="L34" s="758" t="s">
        <v>273</v>
      </c>
    </row>
    <row r="35" spans="1:12" ht="14.25" customHeight="1">
      <c r="A35" s="768" t="s">
        <v>294</v>
      </c>
      <c r="B35" s="1387" t="s">
        <v>295</v>
      </c>
      <c r="C35" s="1387"/>
      <c r="D35" s="1387"/>
      <c r="E35" s="1387"/>
      <c r="F35" s="1387"/>
      <c r="G35" s="1392">
        <f>'2-7'!S15</f>
        <v>0</v>
      </c>
      <c r="H35" s="1392"/>
      <c r="J35" s="756">
        <f>G28</f>
        <v>5.0999999999999997E-2</v>
      </c>
      <c r="K35" s="757" t="e">
        <f>IF(H$39&gt;50000000,"SUBMIT",ROUND(H$39/100*H$42/365*J35,0))</f>
        <v>#REF!</v>
      </c>
      <c r="L35" s="758" t="s">
        <v>275</v>
      </c>
    </row>
    <row r="36" spans="1:12" ht="14.25" customHeight="1">
      <c r="A36" s="768" t="s">
        <v>296</v>
      </c>
      <c r="B36" s="1387" t="s">
        <v>338</v>
      </c>
      <c r="C36" s="1387"/>
      <c r="D36" s="1387"/>
      <c r="E36" s="1387"/>
      <c r="F36" s="1387"/>
      <c r="G36" s="1387"/>
      <c r="H36" s="822" t="e">
        <f>('2-7'!#REF!)</f>
        <v>#REF!</v>
      </c>
      <c r="J36" s="761" t="str">
        <f>H28</f>
        <v>N/A</v>
      </c>
      <c r="K36" s="762" t="e">
        <f>IF(H$39&gt;50000000,"SUBMIT",ROUND(H$39/100*H$42/365*J36,0))</f>
        <v>#REF!</v>
      </c>
      <c r="L36" s="758" t="s">
        <v>278</v>
      </c>
    </row>
    <row r="37" spans="1:12" ht="14.25" customHeight="1">
      <c r="A37" s="768"/>
      <c r="B37" s="1388" t="s">
        <v>298</v>
      </c>
      <c r="C37" s="1388"/>
      <c r="D37" s="1388"/>
      <c r="E37" s="1388"/>
      <c r="F37" s="1388"/>
      <c r="G37" s="1388"/>
      <c r="H37" s="811" t="s">
        <v>299</v>
      </c>
      <c r="J37" s="761"/>
      <c r="K37" s="762"/>
      <c r="L37" s="758"/>
    </row>
    <row r="38" spans="1:12" ht="14.25" customHeight="1">
      <c r="A38" s="768"/>
      <c r="B38" s="769" t="s">
        <v>300</v>
      </c>
      <c r="C38" s="1276"/>
      <c r="D38" s="1276"/>
      <c r="E38" s="1276"/>
      <c r="G38" s="812" t="s">
        <v>277</v>
      </c>
      <c r="H38" s="813"/>
      <c r="J38" s="761"/>
      <c r="K38" s="762"/>
      <c r="L38" s="758"/>
    </row>
    <row r="39" spans="1:12" ht="14.25" customHeight="1">
      <c r="A39" s="768" t="s">
        <v>301</v>
      </c>
      <c r="B39" s="1387" t="s">
        <v>302</v>
      </c>
      <c r="C39" s="1387"/>
      <c r="D39" s="1387"/>
      <c r="E39" s="1387"/>
      <c r="F39" s="1387"/>
      <c r="G39" s="1387"/>
      <c r="H39" s="823" t="e">
        <f>H36</f>
        <v>#REF!</v>
      </c>
      <c r="J39" s="756">
        <f>G27</f>
        <v>7.0300000000000001E-2</v>
      </c>
      <c r="K39" s="757" t="e">
        <f>IF(H$39&gt;50000000,"SUBMIT",ROUND(H$39/100*H$42/365*J39,0))</f>
        <v>#REF!</v>
      </c>
      <c r="L39" s="758" t="s">
        <v>280</v>
      </c>
    </row>
    <row r="40" spans="1:12" ht="14.25" customHeight="1">
      <c r="A40" s="768" t="s">
        <v>303</v>
      </c>
      <c r="B40" s="1387" t="s">
        <v>304</v>
      </c>
      <c r="C40" s="1387"/>
      <c r="D40" s="1387"/>
      <c r="E40" s="1387"/>
      <c r="F40" s="1387"/>
      <c r="G40" s="1387"/>
      <c r="H40" s="814">
        <v>0</v>
      </c>
      <c r="J40" s="756" t="str">
        <f>H27</f>
        <v>N/A</v>
      </c>
      <c r="K40" s="757" t="e">
        <f>IF(H$39&gt;50000000,"SUBMIT",ROUND(H$39/100*H$42/365*J40,0))</f>
        <v>#REF!</v>
      </c>
      <c r="L40" s="758" t="s">
        <v>283</v>
      </c>
    </row>
    <row r="41" spans="1:12" ht="14.25" customHeight="1">
      <c r="A41" s="768" t="s">
        <v>305</v>
      </c>
      <c r="B41" s="1387" t="s">
        <v>306</v>
      </c>
      <c r="C41" s="1387"/>
      <c r="D41" s="1387"/>
      <c r="E41" s="1387"/>
      <c r="F41" s="1387"/>
      <c r="G41" s="1387"/>
      <c r="H41" s="1097">
        <v>5.8000000000000003E-2</v>
      </c>
      <c r="I41" s="765"/>
      <c r="J41" s="756">
        <f>G26</f>
        <v>0.26600000000000001</v>
      </c>
      <c r="K41" s="757" t="e">
        <f>IF(H$39&gt;10000000,"SUBMIT",ROUND(H$39/100*H$42/365*J41,0))</f>
        <v>#REF!</v>
      </c>
      <c r="L41" s="758" t="s">
        <v>285</v>
      </c>
    </row>
    <row r="42" spans="1:12" ht="14.25" customHeight="1">
      <c r="A42" s="768" t="s">
        <v>307</v>
      </c>
      <c r="B42" s="1387" t="s">
        <v>308</v>
      </c>
      <c r="C42" s="1387"/>
      <c r="D42" s="1387"/>
      <c r="E42" s="1387"/>
      <c r="F42" s="1387"/>
      <c r="G42" s="1387"/>
      <c r="H42" s="772">
        <f>IF(H41="","",G35-G34+1)</f>
        <v>1</v>
      </c>
      <c r="J42" s="756">
        <f>G25</f>
        <v>0.3</v>
      </c>
      <c r="K42" s="757" t="e">
        <f>IF(H$39&gt;25000000,"SUBMIT",ROUND(H$39/100*H$42/365*J42,0))</f>
        <v>#REF!</v>
      </c>
      <c r="L42" s="758" t="s">
        <v>287</v>
      </c>
    </row>
    <row r="43" spans="1:12" ht="14.25" customHeight="1">
      <c r="A43" s="768" t="s">
        <v>309</v>
      </c>
      <c r="B43" s="1387" t="s">
        <v>310</v>
      </c>
      <c r="C43" s="1387"/>
      <c r="D43" s="1387"/>
      <c r="E43" s="1387"/>
      <c r="F43" s="1387"/>
      <c r="G43" s="1387"/>
      <c r="H43" s="815" t="e">
        <f>ROUND(H$39/100*H$42/365*H41,0)</f>
        <v>#REF!</v>
      </c>
      <c r="J43" s="756">
        <f>H26</f>
        <v>0.3458</v>
      </c>
      <c r="K43" s="757" t="e">
        <f>IF(H$39&gt;10000000,"SUBMIT",ROUND(H$39/100*H$42/365*J43,0))</f>
        <v>#REF!</v>
      </c>
      <c r="L43" s="758" t="s">
        <v>289</v>
      </c>
    </row>
    <row r="44" spans="1:12" ht="14.25" customHeight="1">
      <c r="A44" s="768" t="s">
        <v>311</v>
      </c>
      <c r="B44" s="1387" t="s">
        <v>312</v>
      </c>
      <c r="C44" s="1387"/>
      <c r="D44" s="1387"/>
      <c r="E44" s="1387"/>
      <c r="F44" s="1387"/>
      <c r="G44" s="1387"/>
      <c r="H44" s="816">
        <f>ROUND(H40/100*H42/365*G31,0)</f>
        <v>0</v>
      </c>
      <c r="J44" s="756">
        <f>H25</f>
        <v>0.42370000000000002</v>
      </c>
      <c r="K44" s="757" t="e">
        <f>IF(H$39&gt;25000000,"SUBMIT",ROUND(H$39/100*H$42/365*J44,0))</f>
        <v>#REF!</v>
      </c>
      <c r="L44" s="758" t="s">
        <v>291</v>
      </c>
    </row>
    <row r="45" spans="1:12" ht="14.25" customHeight="1">
      <c r="A45" s="768" t="s">
        <v>313</v>
      </c>
      <c r="B45" s="1276" t="s">
        <v>314</v>
      </c>
      <c r="C45" s="1276"/>
      <c r="D45" s="1276"/>
      <c r="E45" s="1276"/>
      <c r="F45" s="1276"/>
      <c r="G45" s="1276"/>
      <c r="H45" s="817" t="e">
        <f>IF(H43="","",ROUND((H43+H44)*0.032,2))</f>
        <v>#REF!</v>
      </c>
      <c r="J45" s="756"/>
      <c r="K45" s="757"/>
      <c r="L45" s="758"/>
    </row>
    <row r="46" spans="1:12" ht="14.25" customHeight="1">
      <c r="A46" s="768" t="s">
        <v>315</v>
      </c>
      <c r="B46" s="1387" t="s">
        <v>316</v>
      </c>
      <c r="C46" s="1387"/>
      <c r="D46" s="1387"/>
      <c r="E46" s="1387"/>
      <c r="F46" s="1387"/>
      <c r="G46" s="1387"/>
      <c r="H46" s="816" t="e">
        <f>IF(H43="","",H43+H44+H45)</f>
        <v>#REF!</v>
      </c>
    </row>
    <row r="47" spans="1:12" ht="14.25" customHeight="1" thickBot="1">
      <c r="A47" s="768" t="s">
        <v>317</v>
      </c>
      <c r="B47" s="1387" t="s">
        <v>318</v>
      </c>
      <c r="C47" s="1387"/>
      <c r="D47" s="1387"/>
      <c r="E47" s="1387"/>
      <c r="F47" s="1387"/>
      <c r="G47" s="1387"/>
      <c r="H47" s="825" t="e">
        <f>IF(H43="","",ROUND(H39/100*0.1,0))</f>
        <v>#REF!</v>
      </c>
    </row>
    <row r="48" spans="1:12" ht="14.25" customHeight="1" thickBot="1">
      <c r="A48" s="781" t="s">
        <v>319</v>
      </c>
      <c r="B48" s="1393" t="s">
        <v>320</v>
      </c>
      <c r="C48" s="1393"/>
      <c r="D48" s="1393"/>
      <c r="E48" s="1393"/>
      <c r="F48" s="1393"/>
      <c r="G48" s="1403"/>
      <c r="H48" s="818" t="e">
        <f>IF(H43="","",H46+H47)</f>
        <v>#REF!</v>
      </c>
    </row>
    <row r="49" spans="1:21" ht="9.6" customHeight="1">
      <c r="A49" s="781"/>
      <c r="B49" s="1277"/>
      <c r="C49" s="1277"/>
      <c r="D49" s="1277"/>
      <c r="E49" s="1277"/>
      <c r="F49" s="1277"/>
      <c r="G49" s="1277"/>
      <c r="H49" s="783"/>
    </row>
    <row r="50" spans="1:21" ht="14.1" customHeight="1">
      <c r="A50" s="784"/>
      <c r="B50" s="1394"/>
      <c r="C50" s="1394"/>
      <c r="D50" s="1394"/>
      <c r="E50" s="1394"/>
      <c r="F50" s="784"/>
      <c r="G50" s="1395"/>
      <c r="H50" s="1395"/>
    </row>
    <row r="51" spans="1:21" s="775" customFormat="1" ht="14.1" customHeight="1">
      <c r="B51" s="1397" t="s">
        <v>321</v>
      </c>
      <c r="C51" s="1397"/>
      <c r="D51" s="1397"/>
      <c r="E51" s="1397"/>
      <c r="F51" s="1274"/>
      <c r="G51" s="1398" t="s">
        <v>322</v>
      </c>
      <c r="H51" s="1398"/>
      <c r="I51" s="773"/>
      <c r="J51" s="773"/>
      <c r="K51" s="773"/>
      <c r="L51" s="773"/>
      <c r="M51" s="773"/>
      <c r="N51" s="773"/>
      <c r="O51" s="773"/>
      <c r="P51" s="773"/>
      <c r="Q51" s="773"/>
      <c r="R51" s="774"/>
      <c r="S51" s="774"/>
      <c r="T51" s="774"/>
      <c r="U51" s="774"/>
    </row>
    <row r="52" spans="1:21" ht="14.1" customHeight="1">
      <c r="A52" s="784"/>
      <c r="B52" s="1399"/>
      <c r="C52" s="1394"/>
      <c r="D52" s="1394"/>
      <c r="E52" s="1394"/>
      <c r="F52" s="784"/>
      <c r="G52" s="1394"/>
      <c r="H52" s="1394"/>
    </row>
    <row r="53" spans="1:21" s="775" customFormat="1" ht="14.1" customHeight="1" thickBot="1">
      <c r="A53" s="785"/>
      <c r="B53" s="1400" t="s">
        <v>323</v>
      </c>
      <c r="C53" s="1400"/>
      <c r="D53" s="1400"/>
      <c r="E53" s="1400"/>
      <c r="F53" s="1275"/>
      <c r="G53" s="1400" t="s">
        <v>324</v>
      </c>
      <c r="H53" s="1400"/>
      <c r="I53" s="773"/>
      <c r="J53" s="773"/>
      <c r="K53" s="773"/>
      <c r="L53" s="773"/>
      <c r="M53" s="773"/>
      <c r="N53" s="773"/>
      <c r="O53" s="773"/>
      <c r="P53" s="773"/>
      <c r="Q53" s="773"/>
      <c r="R53" s="774"/>
      <c r="S53" s="774"/>
      <c r="T53" s="774"/>
      <c r="U53" s="774"/>
    </row>
    <row r="54" spans="1:21">
      <c r="A54" s="1396" t="s">
        <v>325</v>
      </c>
      <c r="B54" s="1396"/>
      <c r="C54" s="1396"/>
      <c r="D54" s="1396"/>
      <c r="E54" s="1396"/>
      <c r="F54" s="1396"/>
      <c r="G54" s="1396"/>
      <c r="H54" s="1396"/>
    </row>
    <row r="55" spans="1:21" s="780" customFormat="1" ht="12.75" customHeight="1">
      <c r="A55" s="786" t="s">
        <v>326</v>
      </c>
      <c r="B55" s="787"/>
      <c r="C55" s="788"/>
      <c r="D55" s="788"/>
      <c r="E55" s="788"/>
      <c r="F55" s="786" t="s">
        <v>327</v>
      </c>
      <c r="G55" s="788"/>
      <c r="H55" s="788"/>
      <c r="I55" s="778"/>
      <c r="J55" s="778"/>
      <c r="K55" s="778"/>
      <c r="L55" s="778"/>
      <c r="M55" s="778"/>
      <c r="N55" s="778"/>
      <c r="O55" s="778"/>
      <c r="P55" s="778"/>
      <c r="Q55" s="778"/>
      <c r="R55" s="779"/>
      <c r="S55" s="779"/>
      <c r="T55" s="779"/>
      <c r="U55" s="779"/>
    </row>
    <row r="56" spans="1:21" ht="12.75" customHeight="1">
      <c r="A56" s="789" t="s">
        <v>328</v>
      </c>
      <c r="B56" s="790"/>
      <c r="C56" s="790"/>
      <c r="D56" s="791" t="s">
        <v>329</v>
      </c>
      <c r="F56" s="792" t="s">
        <v>330</v>
      </c>
      <c r="G56" s="790"/>
      <c r="H56" s="793"/>
    </row>
    <row r="57" spans="1:21">
      <c r="A57" s="794" t="s">
        <v>339</v>
      </c>
      <c r="B57" s="125"/>
      <c r="C57" s="125"/>
      <c r="D57" s="793"/>
      <c r="F57" s="795" t="s">
        <v>332</v>
      </c>
      <c r="G57" s="127"/>
      <c r="H57" s="793"/>
    </row>
    <row r="58" spans="1:21">
      <c r="A58" s="796" t="s">
        <v>333</v>
      </c>
      <c r="B58" s="797"/>
      <c r="C58" s="797"/>
      <c r="D58" s="793"/>
      <c r="F58" s="798" t="s">
        <v>334</v>
      </c>
      <c r="G58" s="797"/>
      <c r="H58" s="793"/>
    </row>
    <row r="59" spans="1:21">
      <c r="A59" s="819"/>
    </row>
  </sheetData>
  <mergeCells count="75">
    <mergeCell ref="A54:H54"/>
    <mergeCell ref="B50:E50"/>
    <mergeCell ref="G50:H50"/>
    <mergeCell ref="B51:E51"/>
    <mergeCell ref="G51:H51"/>
    <mergeCell ref="B52:E52"/>
    <mergeCell ref="G52:H52"/>
    <mergeCell ref="B53:E53"/>
    <mergeCell ref="G53:H53"/>
    <mergeCell ref="B43:G43"/>
    <mergeCell ref="B44:G44"/>
    <mergeCell ref="B46:G46"/>
    <mergeCell ref="B47:G47"/>
    <mergeCell ref="B48:G48"/>
    <mergeCell ref="B42:G42"/>
    <mergeCell ref="A32:H32"/>
    <mergeCell ref="A33:H33"/>
    <mergeCell ref="B34:F34"/>
    <mergeCell ref="G34:H34"/>
    <mergeCell ref="B35:F35"/>
    <mergeCell ref="G35:H35"/>
    <mergeCell ref="B36:G36"/>
    <mergeCell ref="B37:G37"/>
    <mergeCell ref="B39:G39"/>
    <mergeCell ref="B40:G40"/>
    <mergeCell ref="B41:G41"/>
    <mergeCell ref="B31:F31"/>
    <mergeCell ref="B22:C22"/>
    <mergeCell ref="G22:H22"/>
    <mergeCell ref="A23:H23"/>
    <mergeCell ref="A24:F24"/>
    <mergeCell ref="B25:F25"/>
    <mergeCell ref="B26:F26"/>
    <mergeCell ref="B27:F27"/>
    <mergeCell ref="B28:F28"/>
    <mergeCell ref="C29:F29"/>
    <mergeCell ref="G29:H29"/>
    <mergeCell ref="B30:F30"/>
    <mergeCell ref="A17:H17"/>
    <mergeCell ref="A18:H18"/>
    <mergeCell ref="B19:C19"/>
    <mergeCell ref="B20:C20"/>
    <mergeCell ref="B21:C21"/>
    <mergeCell ref="G21:H21"/>
    <mergeCell ref="A14:B14"/>
    <mergeCell ref="C14:D14"/>
    <mergeCell ref="E14:F14"/>
    <mergeCell ref="G14:H14"/>
    <mergeCell ref="A15:B15"/>
    <mergeCell ref="C15:D15"/>
    <mergeCell ref="E15:F15"/>
    <mergeCell ref="G15:H15"/>
    <mergeCell ref="A12:B12"/>
    <mergeCell ref="C12:D12"/>
    <mergeCell ref="E12:F12"/>
    <mergeCell ref="G12:H12"/>
    <mergeCell ref="A13:B13"/>
    <mergeCell ref="C13:D13"/>
    <mergeCell ref="E13:F13"/>
    <mergeCell ref="G13:H13"/>
    <mergeCell ref="A11:B11"/>
    <mergeCell ref="C11:D11"/>
    <mergeCell ref="E11:F11"/>
    <mergeCell ref="G11:H11"/>
    <mergeCell ref="A1:H1"/>
    <mergeCell ref="A2:H2"/>
    <mergeCell ref="A3:H3"/>
    <mergeCell ref="A4:H4"/>
    <mergeCell ref="A5:H5"/>
    <mergeCell ref="A6:H6"/>
    <mergeCell ref="A8:H8"/>
    <mergeCell ref="A10:B10"/>
    <mergeCell ref="C10:D10"/>
    <mergeCell ref="E10:F10"/>
    <mergeCell ref="G10:H10"/>
  </mergeCells>
  <printOptions horizontalCentered="1"/>
  <pageMargins left="0.47" right="0.25" top="0.51" bottom="0.48" header="0.27" footer="0.17"/>
  <pageSetup scale="84" orientation="portrait" horizontalDpi="300" verticalDpi="300" r:id="rId1"/>
  <headerFooter alignWithMargins="0">
    <oddFooter>&amp;R&amp;8&amp;F</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3">
    <pageSetUpPr fitToPage="1"/>
  </sheetPr>
  <dimension ref="A1:AM59"/>
  <sheetViews>
    <sheetView workbookViewId="0">
      <selection sqref="A1:H1"/>
    </sheetView>
  </sheetViews>
  <sheetFormatPr defaultRowHeight="12.75"/>
  <cols>
    <col min="1" max="1" width="4" style="715" customWidth="1"/>
    <col min="2" max="2" width="15.5" style="715" customWidth="1"/>
    <col min="3" max="3" width="14.1640625" style="715" customWidth="1"/>
    <col min="4" max="4" width="23.83203125" style="715" customWidth="1"/>
    <col min="5" max="5" width="5.6640625" style="715" customWidth="1"/>
    <col min="6" max="6" width="15.83203125" style="715" customWidth="1"/>
    <col min="7" max="7" width="13" style="715" customWidth="1"/>
    <col min="8" max="8" width="17.6640625" style="715" customWidth="1"/>
    <col min="9" max="10" width="9.33203125" style="713"/>
    <col min="11" max="11" width="14.83203125" style="713" bestFit="1" customWidth="1"/>
    <col min="12" max="12" width="45.6640625" style="713" customWidth="1"/>
    <col min="13" max="17" width="9.33203125" style="713"/>
    <col min="18" max="21" width="9.33203125" style="714"/>
    <col min="22" max="16384" width="9.33203125" style="715"/>
  </cols>
  <sheetData>
    <row r="1" spans="1:39" ht="17.25" customHeight="1">
      <c r="A1" s="1351" t="s">
        <v>240</v>
      </c>
      <c r="B1" s="1351"/>
      <c r="C1" s="1351"/>
      <c r="D1" s="1351"/>
      <c r="E1" s="1351"/>
      <c r="F1" s="1351"/>
      <c r="G1" s="1351"/>
      <c r="H1" s="1351"/>
    </row>
    <row r="2" spans="1:39" ht="12.75" customHeight="1">
      <c r="A2" s="1352" t="s">
        <v>241</v>
      </c>
      <c r="B2" s="1352"/>
      <c r="C2" s="1352"/>
      <c r="D2" s="1352"/>
      <c r="E2" s="1352"/>
      <c r="F2" s="1352"/>
      <c r="G2" s="1352"/>
      <c r="H2" s="1352"/>
    </row>
    <row r="3" spans="1:39" ht="12.75" customHeight="1">
      <c r="A3" s="1353" t="s">
        <v>242</v>
      </c>
      <c r="B3" s="1353"/>
      <c r="C3" s="1353"/>
      <c r="D3" s="1353"/>
      <c r="E3" s="1353"/>
      <c r="F3" s="1353"/>
      <c r="G3" s="1353"/>
      <c r="H3" s="1353"/>
    </row>
    <row r="4" spans="1:39" ht="12.75" customHeight="1">
      <c r="A4" s="1354" t="s">
        <v>243</v>
      </c>
      <c r="B4" s="1354"/>
      <c r="C4" s="1354"/>
      <c r="D4" s="1354"/>
      <c r="E4" s="1354"/>
      <c r="F4" s="1354"/>
      <c r="G4" s="1354"/>
      <c r="H4" s="1354"/>
    </row>
    <row r="5" spans="1:39" ht="10.35" customHeight="1">
      <c r="A5" s="1355"/>
      <c r="B5" s="1355"/>
      <c r="C5" s="1355"/>
      <c r="D5" s="1355"/>
      <c r="E5" s="1355"/>
      <c r="F5" s="1355"/>
      <c r="G5" s="1355"/>
      <c r="H5" s="1355"/>
      <c r="M5" s="716"/>
      <c r="N5" s="716"/>
      <c r="O5" s="716"/>
      <c r="P5" s="716"/>
      <c r="Q5" s="716"/>
      <c r="R5" s="717"/>
      <c r="S5" s="717"/>
      <c r="T5" s="717"/>
      <c r="U5" s="717"/>
      <c r="V5" s="718"/>
      <c r="W5" s="718"/>
      <c r="X5" s="718"/>
      <c r="Y5" s="718"/>
      <c r="Z5" s="718"/>
      <c r="AA5" s="718"/>
      <c r="AB5" s="718"/>
      <c r="AC5" s="718"/>
      <c r="AD5" s="718"/>
      <c r="AE5" s="718"/>
      <c r="AF5" s="718"/>
      <c r="AG5" s="718"/>
      <c r="AH5" s="718"/>
      <c r="AI5" s="718"/>
      <c r="AJ5" s="718"/>
      <c r="AK5" s="718"/>
      <c r="AL5" s="718"/>
      <c r="AM5" s="718"/>
    </row>
    <row r="6" spans="1:39" s="722" customFormat="1" ht="12.6" customHeight="1">
      <c r="A6" s="1356" t="s">
        <v>244</v>
      </c>
      <c r="B6" s="1357"/>
      <c r="C6" s="1357"/>
      <c r="D6" s="1357"/>
      <c r="E6" s="1357"/>
      <c r="F6" s="1357"/>
      <c r="G6" s="1357"/>
      <c r="H6" s="1358"/>
      <c r="I6" s="719"/>
      <c r="J6" s="720"/>
      <c r="K6" s="720"/>
      <c r="L6" s="720"/>
      <c r="M6" s="799"/>
      <c r="N6" s="799"/>
      <c r="O6" s="799"/>
      <c r="P6" s="799"/>
      <c r="Q6" s="799"/>
    </row>
    <row r="7" spans="1:39" s="803" customFormat="1" ht="12" customHeight="1">
      <c r="A7" s="723"/>
      <c r="B7" s="932" t="s">
        <v>335</v>
      </c>
      <c r="C7" s="724"/>
      <c r="D7" s="932" t="s">
        <v>246</v>
      </c>
      <c r="E7" s="932" t="s">
        <v>340</v>
      </c>
      <c r="F7" s="932"/>
      <c r="G7" s="724"/>
      <c r="H7" s="933" t="s">
        <v>248</v>
      </c>
      <c r="I7" s="800"/>
      <c r="J7" s="801"/>
      <c r="K7" s="801"/>
      <c r="L7" s="801"/>
      <c r="M7" s="802"/>
      <c r="N7" s="802"/>
      <c r="O7" s="802"/>
      <c r="P7" s="802"/>
      <c r="Q7" s="802"/>
    </row>
    <row r="8" spans="1:39" ht="10.35" customHeight="1">
      <c r="A8" s="1355"/>
      <c r="B8" s="1355"/>
      <c r="C8" s="1355"/>
      <c r="D8" s="1355"/>
      <c r="E8" s="1355"/>
      <c r="F8" s="1355"/>
      <c r="G8" s="1355"/>
      <c r="H8" s="1355"/>
    </row>
    <row r="9" spans="1:39" ht="14.45" customHeight="1">
      <c r="A9" s="729" t="s">
        <v>249</v>
      </c>
      <c r="B9" s="730"/>
      <c r="C9" s="730"/>
      <c r="D9" s="730"/>
      <c r="E9" s="730"/>
      <c r="F9" s="730"/>
      <c r="G9" s="730"/>
      <c r="H9" s="731"/>
    </row>
    <row r="10" spans="1:39" ht="15" customHeight="1">
      <c r="A10" s="1347" t="s">
        <v>17</v>
      </c>
      <c r="B10" s="1348"/>
      <c r="C10" s="1359"/>
      <c r="D10" s="1359"/>
      <c r="E10" s="1348" t="s">
        <v>250</v>
      </c>
      <c r="F10" s="1348"/>
      <c r="G10" s="1359"/>
      <c r="H10" s="1360"/>
    </row>
    <row r="11" spans="1:39" ht="15" customHeight="1">
      <c r="A11" s="1347" t="s">
        <v>251</v>
      </c>
      <c r="B11" s="1348"/>
      <c r="C11" s="1349" t="str">
        <f>'2-7'!D6</f>
        <v>[ PROJECT NAME ]</v>
      </c>
      <c r="D11" s="1349"/>
      <c r="E11" s="1348" t="s">
        <v>252</v>
      </c>
      <c r="F11" s="1348"/>
      <c r="G11" s="1349">
        <f>'2-7'!D1</f>
        <v>0</v>
      </c>
      <c r="H11" s="1350"/>
    </row>
    <row r="12" spans="1:39" ht="15" customHeight="1">
      <c r="A12" s="1347"/>
      <c r="B12" s="1348"/>
      <c r="C12" s="1349"/>
      <c r="D12" s="1349"/>
      <c r="E12" s="1348" t="s">
        <v>253</v>
      </c>
      <c r="F12" s="1348"/>
      <c r="G12" s="1349"/>
      <c r="H12" s="1350"/>
    </row>
    <row r="13" spans="1:39" ht="25.5" customHeight="1">
      <c r="A13" s="1347" t="s">
        <v>254</v>
      </c>
      <c r="B13" s="1348"/>
      <c r="C13" s="1361"/>
      <c r="D13" s="1361"/>
      <c r="E13" s="1362" t="s">
        <v>255</v>
      </c>
      <c r="F13" s="1362"/>
      <c r="G13" s="1363"/>
      <c r="H13" s="1364"/>
    </row>
    <row r="14" spans="1:39" ht="15" customHeight="1">
      <c r="A14" s="1347" t="s">
        <v>256</v>
      </c>
      <c r="B14" s="1348"/>
      <c r="C14" s="1349"/>
      <c r="D14" s="1349"/>
      <c r="E14" s="1362" t="s">
        <v>257</v>
      </c>
      <c r="F14" s="1362"/>
      <c r="G14" s="1363"/>
      <c r="H14" s="1364"/>
    </row>
    <row r="15" spans="1:39" ht="15" customHeight="1">
      <c r="A15" s="1347" t="s">
        <v>258</v>
      </c>
      <c r="B15" s="1348"/>
      <c r="C15" s="1349" t="str">
        <f>'2-7'!D9</f>
        <v>[ Contractor Company Name ]</v>
      </c>
      <c r="D15" s="1349"/>
      <c r="E15" s="1348" t="s">
        <v>259</v>
      </c>
      <c r="F15" s="1348"/>
      <c r="G15" s="1363" t="e">
        <f>'2-7'!X11+'2-7'!#REF!</f>
        <v>#REF!</v>
      </c>
      <c r="H15" s="1364"/>
    </row>
    <row r="16" spans="1:39" ht="4.3499999999999996" customHeight="1">
      <c r="A16" s="732"/>
      <c r="B16" s="733"/>
      <c r="C16" s="734"/>
      <c r="D16" s="734"/>
      <c r="E16" s="733"/>
      <c r="F16" s="733"/>
      <c r="G16" s="735"/>
      <c r="H16" s="736"/>
    </row>
    <row r="17" spans="1:21" ht="10.35" customHeight="1">
      <c r="A17" s="1365"/>
      <c r="B17" s="1365"/>
      <c r="C17" s="1365"/>
      <c r="D17" s="1365"/>
      <c r="E17" s="1365"/>
      <c r="F17" s="1365"/>
      <c r="G17" s="1365"/>
      <c r="H17" s="1365"/>
    </row>
    <row r="18" spans="1:21" ht="12.75" customHeight="1">
      <c r="A18" s="1366" t="s">
        <v>260</v>
      </c>
      <c r="B18" s="1367"/>
      <c r="C18" s="1367"/>
      <c r="D18" s="1367"/>
      <c r="E18" s="1367"/>
      <c r="F18" s="1367"/>
      <c r="G18" s="1367"/>
      <c r="H18" s="1368"/>
      <c r="I18" s="737"/>
      <c r="R18" s="715"/>
      <c r="S18" s="715"/>
      <c r="T18" s="715"/>
      <c r="U18" s="715"/>
    </row>
    <row r="19" spans="1:21" ht="13.35" customHeight="1">
      <c r="A19" s="740" t="s">
        <v>261</v>
      </c>
      <c r="B19" s="1369" t="s">
        <v>262</v>
      </c>
      <c r="C19" s="1369"/>
      <c r="D19" s="739"/>
      <c r="E19" s="740" t="s">
        <v>261</v>
      </c>
      <c r="F19" s="741" t="s">
        <v>263</v>
      </c>
      <c r="G19" s="742"/>
      <c r="H19" s="743"/>
      <c r="I19" s="738"/>
      <c r="R19" s="715"/>
      <c r="S19" s="715"/>
      <c r="T19" s="715"/>
      <c r="U19" s="715"/>
    </row>
    <row r="20" spans="1:21" ht="13.35" customHeight="1">
      <c r="A20" s="740" t="s">
        <v>261</v>
      </c>
      <c r="B20" s="1369" t="s">
        <v>264</v>
      </c>
      <c r="C20" s="1369"/>
      <c r="D20" s="744"/>
      <c r="E20" s="740" t="s">
        <v>261</v>
      </c>
      <c r="F20" s="745" t="s">
        <v>265</v>
      </c>
      <c r="G20" s="746"/>
      <c r="H20" s="747"/>
      <c r="I20" s="804"/>
      <c r="R20" s="715"/>
      <c r="S20" s="715"/>
      <c r="T20" s="715"/>
      <c r="U20" s="715"/>
    </row>
    <row r="21" spans="1:21" s="807" customFormat="1" ht="13.35" customHeight="1">
      <c r="A21" s="740" t="s">
        <v>266</v>
      </c>
      <c r="B21" s="1369" t="s">
        <v>267</v>
      </c>
      <c r="C21" s="1369"/>
      <c r="D21" s="744"/>
      <c r="E21" s="740" t="s">
        <v>261</v>
      </c>
      <c r="F21" s="745" t="s">
        <v>268</v>
      </c>
      <c r="G21" s="1401"/>
      <c r="H21" s="1402"/>
      <c r="I21" s="805"/>
      <c r="J21" s="806"/>
      <c r="K21" s="806"/>
      <c r="L21" s="806"/>
      <c r="M21" s="806"/>
      <c r="N21" s="806"/>
      <c r="O21" s="806"/>
      <c r="P21" s="806"/>
      <c r="Q21" s="806"/>
    </row>
    <row r="22" spans="1:21" s="807" customFormat="1" ht="4.3499999999999996" customHeight="1">
      <c r="A22" s="748"/>
      <c r="B22" s="1373"/>
      <c r="C22" s="1373"/>
      <c r="D22" s="1278"/>
      <c r="E22" s="749"/>
      <c r="F22" s="750"/>
      <c r="G22" s="1374"/>
      <c r="H22" s="1375"/>
      <c r="I22" s="805"/>
      <c r="J22" s="806"/>
      <c r="K22" s="806"/>
      <c r="L22" s="806"/>
      <c r="M22" s="806"/>
      <c r="N22" s="806"/>
      <c r="O22" s="806"/>
      <c r="P22" s="806"/>
      <c r="Q22" s="806"/>
    </row>
    <row r="23" spans="1:21" s="810" customFormat="1" ht="10.35" customHeight="1">
      <c r="A23" s="1376"/>
      <c r="B23" s="1376"/>
      <c r="C23" s="1376"/>
      <c r="D23" s="1376"/>
      <c r="E23" s="1376"/>
      <c r="F23" s="1376"/>
      <c r="G23" s="1376"/>
      <c r="H23" s="1376"/>
      <c r="I23" s="719"/>
      <c r="J23" s="808"/>
      <c r="K23" s="808"/>
      <c r="L23" s="808"/>
      <c r="M23" s="809"/>
      <c r="N23" s="809"/>
      <c r="O23" s="809"/>
      <c r="P23" s="809"/>
      <c r="Q23" s="809"/>
    </row>
    <row r="24" spans="1:21" ht="47.25" customHeight="1">
      <c r="A24" s="1377" t="s">
        <v>269</v>
      </c>
      <c r="B24" s="1378"/>
      <c r="C24" s="1378"/>
      <c r="D24" s="1379"/>
      <c r="E24" s="1379"/>
      <c r="F24" s="1379"/>
      <c r="G24" s="901" t="s">
        <v>270</v>
      </c>
      <c r="H24" s="753" t="s">
        <v>271</v>
      </c>
    </row>
    <row r="25" spans="1:21" ht="15" customHeight="1">
      <c r="A25" s="754"/>
      <c r="B25" s="1380" t="s">
        <v>272</v>
      </c>
      <c r="C25" s="1380"/>
      <c r="D25" s="1380"/>
      <c r="E25" s="1380"/>
      <c r="F25" s="1380"/>
      <c r="G25" s="900">
        <v>0.3</v>
      </c>
      <c r="H25" s="755">
        <v>0.42370000000000002</v>
      </c>
    </row>
    <row r="26" spans="1:21" ht="15" customHeight="1">
      <c r="A26" s="759"/>
      <c r="B26" s="1381" t="s">
        <v>274</v>
      </c>
      <c r="C26" s="1381"/>
      <c r="D26" s="1381"/>
      <c r="E26" s="1381"/>
      <c r="F26" s="1381"/>
      <c r="G26" s="900">
        <v>0.26600000000000001</v>
      </c>
      <c r="H26" s="760">
        <v>0.3458</v>
      </c>
    </row>
    <row r="27" spans="1:21" ht="15" customHeight="1">
      <c r="A27" s="759"/>
      <c r="B27" s="1381" t="s">
        <v>276</v>
      </c>
      <c r="C27" s="1381"/>
      <c r="D27" s="1381"/>
      <c r="E27" s="1381"/>
      <c r="F27" s="1381"/>
      <c r="G27" s="900">
        <v>7.0300000000000001E-2</v>
      </c>
      <c r="H27" s="760" t="s">
        <v>277</v>
      </c>
    </row>
    <row r="28" spans="1:21" ht="15" customHeight="1">
      <c r="A28" s="759"/>
      <c r="B28" s="1381" t="s">
        <v>279</v>
      </c>
      <c r="C28" s="1381"/>
      <c r="D28" s="1381"/>
      <c r="E28" s="1381"/>
      <c r="F28" s="1381"/>
      <c r="G28" s="1098">
        <v>5.0999999999999997E-2</v>
      </c>
      <c r="H28" s="760" t="s">
        <v>277</v>
      </c>
    </row>
    <row r="29" spans="1:21" ht="15" customHeight="1">
      <c r="A29" s="763"/>
      <c r="B29" s="1099" t="s">
        <v>281</v>
      </c>
      <c r="C29" s="1382" t="s">
        <v>282</v>
      </c>
      <c r="D29" s="1383"/>
      <c r="E29" s="1383"/>
      <c r="F29" s="1383"/>
      <c r="G29" s="1384"/>
      <c r="H29" s="1385"/>
    </row>
    <row r="30" spans="1:21" ht="15" customHeight="1">
      <c r="A30" s="763"/>
      <c r="B30" s="1386" t="s">
        <v>284</v>
      </c>
      <c r="C30" s="1386"/>
      <c r="D30" s="1386"/>
      <c r="E30" s="1386"/>
      <c r="F30" s="1386"/>
      <c r="G30" s="898">
        <v>3.5150000000000001E-2</v>
      </c>
      <c r="H30" s="764" t="s">
        <v>277</v>
      </c>
    </row>
    <row r="31" spans="1:21" ht="15" customHeight="1">
      <c r="A31" s="766"/>
      <c r="B31" s="1372" t="s">
        <v>286</v>
      </c>
      <c r="C31" s="1372"/>
      <c r="D31" s="1372"/>
      <c r="E31" s="1372"/>
      <c r="F31" s="1372"/>
      <c r="G31" s="899">
        <v>0.4</v>
      </c>
      <c r="H31" s="767" t="s">
        <v>277</v>
      </c>
      <c r="J31" s="751"/>
      <c r="K31" s="752"/>
    </row>
    <row r="32" spans="1:21" ht="22.5" customHeight="1">
      <c r="A32" s="1389" t="s">
        <v>288</v>
      </c>
      <c r="B32" s="1389"/>
      <c r="C32" s="1389"/>
      <c r="D32" s="1389"/>
      <c r="E32" s="1389"/>
      <c r="F32" s="1389"/>
      <c r="G32" s="1389"/>
      <c r="H32" s="1389"/>
      <c r="J32" s="752"/>
      <c r="K32" s="752"/>
    </row>
    <row r="33" spans="1:12" ht="14.25" customHeight="1">
      <c r="A33" s="1390" t="s">
        <v>290</v>
      </c>
      <c r="B33" s="1390"/>
      <c r="C33" s="1390"/>
      <c r="D33" s="1390"/>
      <c r="E33" s="1390"/>
      <c r="F33" s="1390"/>
      <c r="G33" s="1390"/>
      <c r="H33" s="1390"/>
      <c r="J33" s="752"/>
      <c r="K33" s="752"/>
    </row>
    <row r="34" spans="1:12" ht="14.25" customHeight="1">
      <c r="A34" s="768" t="s">
        <v>292</v>
      </c>
      <c r="B34" s="1387" t="s">
        <v>341</v>
      </c>
      <c r="C34" s="1387"/>
      <c r="D34" s="1387"/>
      <c r="E34" s="1387"/>
      <c r="F34" s="1387"/>
      <c r="G34" s="1391">
        <f>'2-7'!S14</f>
        <v>0</v>
      </c>
      <c r="H34" s="1391"/>
      <c r="J34" s="756">
        <f>G30</f>
        <v>3.5150000000000001E-2</v>
      </c>
      <c r="K34" s="757" t="e">
        <f>IF(H$39&gt;50000000,"SUBMIT",ROUND(H$39/100*H$42/365*J34,0))</f>
        <v>#REF!</v>
      </c>
      <c r="L34" s="758" t="s">
        <v>273</v>
      </c>
    </row>
    <row r="35" spans="1:12" ht="14.25" customHeight="1">
      <c r="A35" s="768" t="s">
        <v>294</v>
      </c>
      <c r="B35" s="1387" t="s">
        <v>295</v>
      </c>
      <c r="C35" s="1387"/>
      <c r="D35" s="1387"/>
      <c r="E35" s="1387"/>
      <c r="F35" s="1387"/>
      <c r="G35" s="1392">
        <f>'2-7'!S15</f>
        <v>0</v>
      </c>
      <c r="H35" s="1392"/>
      <c r="J35" s="756">
        <f>G28</f>
        <v>5.0999999999999997E-2</v>
      </c>
      <c r="K35" s="757" t="e">
        <f>IF(H$39&gt;50000000,"SUBMIT",ROUND(H$39/100*H$42/365*J35,0))</f>
        <v>#REF!</v>
      </c>
      <c r="L35" s="758" t="s">
        <v>275</v>
      </c>
    </row>
    <row r="36" spans="1:12" ht="14.25" customHeight="1">
      <c r="A36" s="768" t="s">
        <v>296</v>
      </c>
      <c r="B36" s="1387" t="s">
        <v>338</v>
      </c>
      <c r="C36" s="1387"/>
      <c r="D36" s="1387"/>
      <c r="E36" s="1387"/>
      <c r="F36" s="1387"/>
      <c r="G36" s="1387"/>
      <c r="H36" s="822" t="e">
        <f>('2-7'!#REF!)</f>
        <v>#REF!</v>
      </c>
      <c r="J36" s="761" t="str">
        <f>H28</f>
        <v>N/A</v>
      </c>
      <c r="K36" s="762" t="e">
        <f>IF(H$39&gt;50000000,"SUBMIT",ROUND(H$39/100*H$42/365*J36,0))</f>
        <v>#REF!</v>
      </c>
      <c r="L36" s="758" t="s">
        <v>278</v>
      </c>
    </row>
    <row r="37" spans="1:12" ht="14.25" customHeight="1">
      <c r="A37" s="768"/>
      <c r="B37" s="1388" t="s">
        <v>298</v>
      </c>
      <c r="C37" s="1388"/>
      <c r="D37" s="1388"/>
      <c r="E37" s="1388"/>
      <c r="F37" s="1388"/>
      <c r="G37" s="1388"/>
      <c r="H37" s="811" t="s">
        <v>299</v>
      </c>
      <c r="J37" s="761"/>
      <c r="K37" s="762"/>
      <c r="L37" s="758"/>
    </row>
    <row r="38" spans="1:12" ht="14.25" customHeight="1">
      <c r="A38" s="768"/>
      <c r="B38" s="769" t="s">
        <v>342</v>
      </c>
      <c r="C38" s="1276"/>
      <c r="D38" s="1276"/>
      <c r="E38" s="1276"/>
      <c r="G38" s="812">
        <f>'2-7'!O39+'2-7'!O40</f>
        <v>0</v>
      </c>
      <c r="H38" s="813"/>
      <c r="J38" s="761"/>
      <c r="K38" s="762"/>
      <c r="L38" s="758"/>
    </row>
    <row r="39" spans="1:12" ht="14.25" customHeight="1">
      <c r="A39" s="768" t="s">
        <v>301</v>
      </c>
      <c r="B39" s="1387" t="s">
        <v>302</v>
      </c>
      <c r="C39" s="1387"/>
      <c r="D39" s="1387"/>
      <c r="E39" s="1387"/>
      <c r="F39" s="1387"/>
      <c r="G39" s="1387"/>
      <c r="H39" s="823" t="e">
        <f>H36-G38</f>
        <v>#REF!</v>
      </c>
      <c r="J39" s="756">
        <f>G27</f>
        <v>7.0300000000000001E-2</v>
      </c>
      <c r="K39" s="757" t="e">
        <f>IF(H$39&gt;50000000,"SUBMIT",ROUND(H$39/100*H$42/365*J39,0))</f>
        <v>#REF!</v>
      </c>
      <c r="L39" s="758" t="s">
        <v>280</v>
      </c>
    </row>
    <row r="40" spans="1:12" ht="14.25" customHeight="1">
      <c r="A40" s="768" t="s">
        <v>303</v>
      </c>
      <c r="B40" s="1387" t="s">
        <v>304</v>
      </c>
      <c r="C40" s="1387"/>
      <c r="D40" s="1387"/>
      <c r="E40" s="1387"/>
      <c r="F40" s="1387"/>
      <c r="G40" s="1387"/>
      <c r="H40" s="814">
        <v>0</v>
      </c>
      <c r="J40" s="756" t="str">
        <f>H27</f>
        <v>N/A</v>
      </c>
      <c r="K40" s="757" t="e">
        <f>IF(H$39&gt;50000000,"SUBMIT",ROUND(H$39/100*H$42/365*J40,0))</f>
        <v>#REF!</v>
      </c>
      <c r="L40" s="758" t="s">
        <v>283</v>
      </c>
    </row>
    <row r="41" spans="1:12" ht="14.25" customHeight="1">
      <c r="A41" s="768" t="s">
        <v>305</v>
      </c>
      <c r="B41" s="1387" t="s">
        <v>306</v>
      </c>
      <c r="C41" s="1387"/>
      <c r="D41" s="1387"/>
      <c r="E41" s="1387"/>
      <c r="F41" s="1387"/>
      <c r="G41" s="1387"/>
      <c r="H41" s="1097">
        <v>5.8000000000000003E-2</v>
      </c>
      <c r="I41" s="765"/>
      <c r="J41" s="756">
        <f>G26</f>
        <v>0.26600000000000001</v>
      </c>
      <c r="K41" s="757" t="e">
        <f>IF(H$39&gt;10000000,"SUBMIT",ROUND(H$39/100*H$42/365*J41,0))</f>
        <v>#REF!</v>
      </c>
      <c r="L41" s="758" t="s">
        <v>285</v>
      </c>
    </row>
    <row r="42" spans="1:12" ht="14.25" customHeight="1">
      <c r="A42" s="768" t="s">
        <v>307</v>
      </c>
      <c r="B42" s="1387" t="s">
        <v>308</v>
      </c>
      <c r="C42" s="1387"/>
      <c r="D42" s="1387"/>
      <c r="E42" s="1387"/>
      <c r="F42" s="1387"/>
      <c r="G42" s="1387"/>
      <c r="H42" s="772">
        <f>IF(H41="","",G35-G34+1)</f>
        <v>1</v>
      </c>
      <c r="J42" s="756">
        <f>G25</f>
        <v>0.3</v>
      </c>
      <c r="K42" s="757" t="e">
        <f>IF(H$39&gt;25000000,"SUBMIT",ROUND(H$39/100*H$42/365*J42,0))</f>
        <v>#REF!</v>
      </c>
      <c r="L42" s="758" t="s">
        <v>287</v>
      </c>
    </row>
    <row r="43" spans="1:12" ht="14.25" customHeight="1">
      <c r="A43" s="768" t="s">
        <v>309</v>
      </c>
      <c r="B43" s="1387" t="s">
        <v>310</v>
      </c>
      <c r="C43" s="1387"/>
      <c r="D43" s="1387"/>
      <c r="E43" s="1387"/>
      <c r="F43" s="1387"/>
      <c r="G43" s="1387"/>
      <c r="H43" s="815" t="e">
        <f>ROUND(H$39/100*H$42/365*H41,0)</f>
        <v>#REF!</v>
      </c>
      <c r="J43" s="756">
        <f>H26</f>
        <v>0.3458</v>
      </c>
      <c r="K43" s="757" t="e">
        <f>IF(H$39&gt;10000000,"SUBMIT",ROUND(H$39/100*H$42/365*J43,0))</f>
        <v>#REF!</v>
      </c>
      <c r="L43" s="758" t="s">
        <v>289</v>
      </c>
    </row>
    <row r="44" spans="1:12" ht="14.25" customHeight="1">
      <c r="A44" s="768" t="s">
        <v>311</v>
      </c>
      <c r="B44" s="1387" t="s">
        <v>312</v>
      </c>
      <c r="C44" s="1387"/>
      <c r="D44" s="1387"/>
      <c r="E44" s="1387"/>
      <c r="F44" s="1387"/>
      <c r="G44" s="1387"/>
      <c r="H44" s="816">
        <f>ROUND(H40/100*H42/365*G31,0)</f>
        <v>0</v>
      </c>
      <c r="J44" s="756">
        <f>H25</f>
        <v>0.42370000000000002</v>
      </c>
      <c r="K44" s="757" t="e">
        <f>IF(H$39&gt;25000000,"SUBMIT",ROUND(H$39/100*H$42/365*J44,0))</f>
        <v>#REF!</v>
      </c>
      <c r="L44" s="758" t="s">
        <v>291</v>
      </c>
    </row>
    <row r="45" spans="1:12" ht="14.25" customHeight="1">
      <c r="A45" s="768" t="s">
        <v>313</v>
      </c>
      <c r="B45" s="1276" t="s">
        <v>314</v>
      </c>
      <c r="C45" s="1276"/>
      <c r="D45" s="1276"/>
      <c r="E45" s="1276"/>
      <c r="F45" s="1276"/>
      <c r="G45" s="1276"/>
      <c r="H45" s="817" t="e">
        <f>IF(H43="","",ROUND((H43+H44)*0.032,2))</f>
        <v>#REF!</v>
      </c>
      <c r="J45" s="756"/>
      <c r="K45" s="757"/>
      <c r="L45" s="758"/>
    </row>
    <row r="46" spans="1:12" ht="14.25" customHeight="1">
      <c r="A46" s="768" t="s">
        <v>315</v>
      </c>
      <c r="B46" s="1387" t="s">
        <v>316</v>
      </c>
      <c r="C46" s="1387"/>
      <c r="D46" s="1387"/>
      <c r="E46" s="1387"/>
      <c r="F46" s="1387"/>
      <c r="G46" s="1387"/>
      <c r="H46" s="816" t="e">
        <f>IF(H43="","",H43+H44+H45)</f>
        <v>#REF!</v>
      </c>
    </row>
    <row r="47" spans="1:12" ht="14.25" customHeight="1" thickBot="1">
      <c r="A47" s="768" t="s">
        <v>317</v>
      </c>
      <c r="B47" s="1387" t="s">
        <v>318</v>
      </c>
      <c r="C47" s="1387"/>
      <c r="D47" s="1387"/>
      <c r="E47" s="1387"/>
      <c r="F47" s="1387"/>
      <c r="G47" s="1387"/>
      <c r="H47" s="825" t="e">
        <f>IF(H43="","",ROUND(H39/100*0.1,0))</f>
        <v>#REF!</v>
      </c>
    </row>
    <row r="48" spans="1:12" ht="14.25" customHeight="1" thickBot="1">
      <c r="A48" s="781" t="s">
        <v>319</v>
      </c>
      <c r="B48" s="1393" t="s">
        <v>320</v>
      </c>
      <c r="C48" s="1393"/>
      <c r="D48" s="1393"/>
      <c r="E48" s="1393"/>
      <c r="F48" s="1393"/>
      <c r="G48" s="1403"/>
      <c r="H48" s="818" t="e">
        <f>IF(H43="","",H46+H47)</f>
        <v>#REF!</v>
      </c>
    </row>
    <row r="49" spans="1:21" ht="9.6" customHeight="1">
      <c r="A49" s="781"/>
      <c r="B49" s="1277"/>
      <c r="C49" s="1277"/>
      <c r="D49" s="1277"/>
      <c r="E49" s="1277"/>
      <c r="F49" s="1277"/>
      <c r="G49" s="1277"/>
      <c r="H49" s="783"/>
    </row>
    <row r="50" spans="1:21" ht="14.1" customHeight="1">
      <c r="A50" s="784"/>
      <c r="B50" s="1394"/>
      <c r="C50" s="1394"/>
      <c r="D50" s="1394"/>
      <c r="E50" s="1394"/>
      <c r="F50" s="784"/>
      <c r="G50" s="1395"/>
      <c r="H50" s="1395"/>
    </row>
    <row r="51" spans="1:21" s="775" customFormat="1" ht="14.1" customHeight="1">
      <c r="B51" s="1397" t="s">
        <v>321</v>
      </c>
      <c r="C51" s="1397"/>
      <c r="D51" s="1397"/>
      <c r="E51" s="1397"/>
      <c r="F51" s="1274"/>
      <c r="G51" s="1398" t="s">
        <v>322</v>
      </c>
      <c r="H51" s="1398"/>
      <c r="I51" s="773"/>
      <c r="J51" s="773"/>
      <c r="K51" s="773"/>
      <c r="L51" s="773"/>
      <c r="M51" s="773"/>
      <c r="N51" s="773"/>
      <c r="O51" s="773"/>
      <c r="P51" s="773"/>
      <c r="Q51" s="773"/>
      <c r="R51" s="774"/>
      <c r="S51" s="774"/>
      <c r="T51" s="774"/>
      <c r="U51" s="774"/>
    </row>
    <row r="52" spans="1:21" ht="14.1" customHeight="1">
      <c r="A52" s="784"/>
      <c r="B52" s="1399"/>
      <c r="C52" s="1394"/>
      <c r="D52" s="1394"/>
      <c r="E52" s="1394"/>
      <c r="F52" s="784"/>
      <c r="G52" s="1394"/>
      <c r="H52" s="1394"/>
    </row>
    <row r="53" spans="1:21" s="775" customFormat="1" ht="14.1" customHeight="1" thickBot="1">
      <c r="A53" s="785"/>
      <c r="B53" s="1400" t="s">
        <v>323</v>
      </c>
      <c r="C53" s="1400"/>
      <c r="D53" s="1400"/>
      <c r="E53" s="1400"/>
      <c r="F53" s="1275"/>
      <c r="G53" s="1400" t="s">
        <v>324</v>
      </c>
      <c r="H53" s="1400"/>
      <c r="I53" s="773"/>
      <c r="J53" s="773"/>
      <c r="K53" s="773"/>
      <c r="L53" s="773"/>
      <c r="M53" s="773"/>
      <c r="N53" s="773"/>
      <c r="O53" s="773"/>
      <c r="P53" s="773"/>
      <c r="Q53" s="773"/>
      <c r="R53" s="774"/>
      <c r="S53" s="774"/>
      <c r="T53" s="774"/>
      <c r="U53" s="774"/>
    </row>
    <row r="54" spans="1:21">
      <c r="A54" s="1396" t="s">
        <v>325</v>
      </c>
      <c r="B54" s="1396"/>
      <c r="C54" s="1396"/>
      <c r="D54" s="1396"/>
      <c r="E54" s="1396"/>
      <c r="F54" s="1396"/>
      <c r="G54" s="1396"/>
      <c r="H54" s="1396"/>
    </row>
    <row r="55" spans="1:21" s="780" customFormat="1" ht="12.75" customHeight="1">
      <c r="A55" s="786" t="s">
        <v>326</v>
      </c>
      <c r="B55" s="787"/>
      <c r="C55" s="788"/>
      <c r="D55" s="788"/>
      <c r="E55" s="788"/>
      <c r="F55" s="786" t="s">
        <v>327</v>
      </c>
      <c r="G55" s="788"/>
      <c r="H55" s="788"/>
      <c r="I55" s="778"/>
      <c r="J55" s="778"/>
      <c r="K55" s="778"/>
      <c r="L55" s="778"/>
      <c r="M55" s="778"/>
      <c r="N55" s="778"/>
      <c r="O55" s="778"/>
      <c r="P55" s="778"/>
      <c r="Q55" s="778"/>
      <c r="R55" s="779"/>
      <c r="S55" s="779"/>
      <c r="T55" s="779"/>
      <c r="U55" s="779"/>
    </row>
    <row r="56" spans="1:21" ht="12.75" customHeight="1">
      <c r="A56" s="789" t="s">
        <v>328</v>
      </c>
      <c r="B56" s="790"/>
      <c r="C56" s="790"/>
      <c r="D56" s="791" t="s">
        <v>329</v>
      </c>
      <c r="F56" s="792" t="s">
        <v>330</v>
      </c>
      <c r="G56" s="790"/>
      <c r="H56" s="793"/>
    </row>
    <row r="57" spans="1:21">
      <c r="A57" s="794" t="s">
        <v>339</v>
      </c>
      <c r="B57" s="125"/>
      <c r="C57" s="125"/>
      <c r="D57" s="793"/>
      <c r="F57" s="795" t="s">
        <v>332</v>
      </c>
      <c r="G57" s="127"/>
      <c r="H57" s="793"/>
    </row>
    <row r="58" spans="1:21">
      <c r="A58" s="796" t="s">
        <v>333</v>
      </c>
      <c r="B58" s="797"/>
      <c r="C58" s="797"/>
      <c r="D58" s="793"/>
      <c r="F58" s="798" t="s">
        <v>334</v>
      </c>
      <c r="G58" s="797"/>
      <c r="H58" s="793"/>
    </row>
    <row r="59" spans="1:21">
      <c r="A59" s="819"/>
    </row>
  </sheetData>
  <mergeCells count="75">
    <mergeCell ref="A54:H54"/>
    <mergeCell ref="B50:E50"/>
    <mergeCell ref="G50:H50"/>
    <mergeCell ref="B51:E51"/>
    <mergeCell ref="G51:H51"/>
    <mergeCell ref="B52:E52"/>
    <mergeCell ref="G52:H52"/>
    <mergeCell ref="B53:E53"/>
    <mergeCell ref="G53:H53"/>
    <mergeCell ref="B43:G43"/>
    <mergeCell ref="B44:G44"/>
    <mergeCell ref="B46:G46"/>
    <mergeCell ref="B47:G47"/>
    <mergeCell ref="B48:G48"/>
    <mergeCell ref="B42:G42"/>
    <mergeCell ref="A32:H32"/>
    <mergeCell ref="A33:H33"/>
    <mergeCell ref="B34:F34"/>
    <mergeCell ref="G34:H34"/>
    <mergeCell ref="B35:F35"/>
    <mergeCell ref="G35:H35"/>
    <mergeCell ref="B36:G36"/>
    <mergeCell ref="B37:G37"/>
    <mergeCell ref="B39:G39"/>
    <mergeCell ref="B40:G40"/>
    <mergeCell ref="B41:G41"/>
    <mergeCell ref="B31:F31"/>
    <mergeCell ref="B22:C22"/>
    <mergeCell ref="G22:H22"/>
    <mergeCell ref="A23:H23"/>
    <mergeCell ref="A24:F24"/>
    <mergeCell ref="B25:F25"/>
    <mergeCell ref="B26:F26"/>
    <mergeCell ref="B27:F27"/>
    <mergeCell ref="B28:F28"/>
    <mergeCell ref="C29:F29"/>
    <mergeCell ref="G29:H29"/>
    <mergeCell ref="B30:F30"/>
    <mergeCell ref="A17:H17"/>
    <mergeCell ref="A18:H18"/>
    <mergeCell ref="B19:C19"/>
    <mergeCell ref="B20:C20"/>
    <mergeCell ref="B21:C21"/>
    <mergeCell ref="G21:H21"/>
    <mergeCell ref="A14:B14"/>
    <mergeCell ref="C14:D14"/>
    <mergeCell ref="E14:F14"/>
    <mergeCell ref="G14:H14"/>
    <mergeCell ref="A15:B15"/>
    <mergeCell ref="C15:D15"/>
    <mergeCell ref="E15:F15"/>
    <mergeCell ref="G15:H15"/>
    <mergeCell ref="A12:B12"/>
    <mergeCell ref="C12:D12"/>
    <mergeCell ref="E12:F12"/>
    <mergeCell ref="G12:H12"/>
    <mergeCell ref="A13:B13"/>
    <mergeCell ref="C13:D13"/>
    <mergeCell ref="E13:F13"/>
    <mergeCell ref="G13:H13"/>
    <mergeCell ref="A11:B11"/>
    <mergeCell ref="C11:D11"/>
    <mergeCell ref="E11:F11"/>
    <mergeCell ref="G11:H11"/>
    <mergeCell ref="A1:H1"/>
    <mergeCell ref="A2:H2"/>
    <mergeCell ref="A3:H3"/>
    <mergeCell ref="A4:H4"/>
    <mergeCell ref="A5:H5"/>
    <mergeCell ref="A6:H6"/>
    <mergeCell ref="A8:H8"/>
    <mergeCell ref="A10:B10"/>
    <mergeCell ref="C10:D10"/>
    <mergeCell ref="E10:F10"/>
    <mergeCell ref="G10:H10"/>
  </mergeCells>
  <printOptions horizontalCentered="1"/>
  <pageMargins left="0.47" right="0.25" top="0.51" bottom="0.48" header="0.27" footer="0.17"/>
  <pageSetup scale="84" orientation="portrait" horizontalDpi="300" verticalDpi="300" r:id="rId1"/>
  <headerFooter alignWithMargins="0">
    <oddFooter>&amp;R&amp;8&amp;F</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2">
    <pageSetUpPr fitToPage="1"/>
  </sheetPr>
  <dimension ref="A1:AM59"/>
  <sheetViews>
    <sheetView workbookViewId="0">
      <selection sqref="A1:H1"/>
    </sheetView>
  </sheetViews>
  <sheetFormatPr defaultRowHeight="12.75"/>
  <cols>
    <col min="1" max="1" width="4" style="715" customWidth="1"/>
    <col min="2" max="2" width="15.5" style="715" customWidth="1"/>
    <col min="3" max="3" width="14.1640625" style="715" customWidth="1"/>
    <col min="4" max="4" width="23.83203125" style="715" customWidth="1"/>
    <col min="5" max="5" width="5.6640625" style="715" customWidth="1"/>
    <col min="6" max="6" width="15.83203125" style="715" customWidth="1"/>
    <col min="7" max="7" width="13" style="715" customWidth="1"/>
    <col min="8" max="8" width="17.6640625" style="715" customWidth="1"/>
    <col min="9" max="10" width="9.33203125" style="713"/>
    <col min="11" max="11" width="14.83203125" style="713" bestFit="1" customWidth="1"/>
    <col min="12" max="12" width="45.6640625" style="713" customWidth="1"/>
    <col min="13" max="17" width="9.33203125" style="713"/>
    <col min="18" max="21" width="9.33203125" style="714"/>
    <col min="22" max="16384" width="9.33203125" style="715"/>
  </cols>
  <sheetData>
    <row r="1" spans="1:39" ht="17.25" customHeight="1">
      <c r="A1" s="1351" t="s">
        <v>240</v>
      </c>
      <c r="B1" s="1351"/>
      <c r="C1" s="1351"/>
      <c r="D1" s="1351"/>
      <c r="E1" s="1351"/>
      <c r="F1" s="1351"/>
      <c r="G1" s="1351"/>
      <c r="H1" s="1351"/>
    </row>
    <row r="2" spans="1:39" ht="12.75" customHeight="1">
      <c r="A2" s="1352" t="s">
        <v>241</v>
      </c>
      <c r="B2" s="1352"/>
      <c r="C2" s="1352"/>
      <c r="D2" s="1352"/>
      <c r="E2" s="1352"/>
      <c r="F2" s="1352"/>
      <c r="G2" s="1352"/>
      <c r="H2" s="1352"/>
    </row>
    <row r="3" spans="1:39" ht="12.75" customHeight="1">
      <c r="A3" s="1353" t="s">
        <v>242</v>
      </c>
      <c r="B3" s="1353"/>
      <c r="C3" s="1353"/>
      <c r="D3" s="1353"/>
      <c r="E3" s="1353"/>
      <c r="F3" s="1353"/>
      <c r="G3" s="1353"/>
      <c r="H3" s="1353"/>
    </row>
    <row r="4" spans="1:39" ht="12.75" customHeight="1">
      <c r="A4" s="1354" t="s">
        <v>243</v>
      </c>
      <c r="B4" s="1354"/>
      <c r="C4" s="1354"/>
      <c r="D4" s="1354"/>
      <c r="E4" s="1354"/>
      <c r="F4" s="1354"/>
      <c r="G4" s="1354"/>
      <c r="H4" s="1354"/>
    </row>
    <row r="5" spans="1:39" ht="10.35" customHeight="1">
      <c r="A5" s="1355"/>
      <c r="B5" s="1355"/>
      <c r="C5" s="1355"/>
      <c r="D5" s="1355"/>
      <c r="E5" s="1355"/>
      <c r="F5" s="1355"/>
      <c r="G5" s="1355"/>
      <c r="H5" s="1355"/>
      <c r="M5" s="716"/>
      <c r="N5" s="716"/>
      <c r="O5" s="716"/>
      <c r="P5" s="716"/>
      <c r="Q5" s="716"/>
      <c r="R5" s="717"/>
      <c r="S5" s="717"/>
      <c r="T5" s="717"/>
      <c r="U5" s="717"/>
      <c r="V5" s="718"/>
      <c r="W5" s="718"/>
      <c r="X5" s="718"/>
      <c r="Y5" s="718"/>
      <c r="Z5" s="718"/>
      <c r="AA5" s="718"/>
      <c r="AB5" s="718"/>
      <c r="AC5" s="718"/>
      <c r="AD5" s="718"/>
      <c r="AE5" s="718"/>
      <c r="AF5" s="718"/>
      <c r="AG5" s="718"/>
      <c r="AH5" s="718"/>
      <c r="AI5" s="718"/>
      <c r="AJ5" s="718"/>
      <c r="AK5" s="718"/>
      <c r="AL5" s="718"/>
      <c r="AM5" s="718"/>
    </row>
    <row r="6" spans="1:39" s="722" customFormat="1" ht="12.6" customHeight="1">
      <c r="A6" s="1356" t="s">
        <v>244</v>
      </c>
      <c r="B6" s="1357"/>
      <c r="C6" s="1357"/>
      <c r="D6" s="1357"/>
      <c r="E6" s="1357"/>
      <c r="F6" s="1357"/>
      <c r="G6" s="1357"/>
      <c r="H6" s="1358"/>
      <c r="I6" s="719"/>
      <c r="J6" s="720"/>
      <c r="K6" s="720"/>
      <c r="L6" s="720"/>
      <c r="M6" s="799"/>
      <c r="N6" s="799"/>
      <c r="O6" s="799"/>
      <c r="P6" s="799"/>
      <c r="Q6" s="799"/>
    </row>
    <row r="7" spans="1:39" s="803" customFormat="1" ht="12" customHeight="1">
      <c r="A7" s="723"/>
      <c r="B7" s="932" t="s">
        <v>335</v>
      </c>
      <c r="C7" s="724"/>
      <c r="D7" s="932" t="s">
        <v>246</v>
      </c>
      <c r="E7" s="932" t="s">
        <v>247</v>
      </c>
      <c r="F7" s="932"/>
      <c r="G7" s="724"/>
      <c r="H7" s="933" t="s">
        <v>343</v>
      </c>
      <c r="I7" s="800"/>
      <c r="J7" s="801"/>
      <c r="K7" s="801"/>
      <c r="L7" s="801"/>
      <c r="M7" s="802"/>
      <c r="N7" s="802"/>
      <c r="O7" s="802"/>
      <c r="P7" s="802"/>
      <c r="Q7" s="802"/>
    </row>
    <row r="8" spans="1:39" ht="10.35" customHeight="1">
      <c r="A8" s="1355"/>
      <c r="B8" s="1355"/>
      <c r="C8" s="1355"/>
      <c r="D8" s="1355"/>
      <c r="E8" s="1355"/>
      <c r="F8" s="1355"/>
      <c r="G8" s="1355"/>
      <c r="H8" s="1355"/>
    </row>
    <row r="9" spans="1:39" ht="14.45" customHeight="1">
      <c r="A9" s="729" t="s">
        <v>249</v>
      </c>
      <c r="B9" s="730"/>
      <c r="C9" s="730"/>
      <c r="D9" s="730"/>
      <c r="E9" s="730"/>
      <c r="F9" s="730"/>
      <c r="G9" s="730"/>
      <c r="H9" s="731"/>
    </row>
    <row r="10" spans="1:39" ht="15" customHeight="1">
      <c r="A10" s="1347" t="s">
        <v>17</v>
      </c>
      <c r="B10" s="1348"/>
      <c r="C10" s="1359"/>
      <c r="D10" s="1359"/>
      <c r="E10" s="1348" t="s">
        <v>250</v>
      </c>
      <c r="F10" s="1348"/>
      <c r="G10" s="1359"/>
      <c r="H10" s="1360"/>
    </row>
    <row r="11" spans="1:39" ht="15" customHeight="1">
      <c r="A11" s="1347" t="s">
        <v>251</v>
      </c>
      <c r="B11" s="1348"/>
      <c r="C11" s="1349" t="str">
        <f>'2-7'!D6</f>
        <v>[ PROJECT NAME ]</v>
      </c>
      <c r="D11" s="1349"/>
      <c r="E11" s="1348" t="s">
        <v>252</v>
      </c>
      <c r="F11" s="1348"/>
      <c r="G11" s="1349">
        <f>'2-7'!D1</f>
        <v>0</v>
      </c>
      <c r="H11" s="1350"/>
    </row>
    <row r="12" spans="1:39" ht="15" customHeight="1">
      <c r="A12" s="1347"/>
      <c r="B12" s="1348"/>
      <c r="C12" s="1349"/>
      <c r="D12" s="1349"/>
      <c r="E12" s="1348" t="s">
        <v>253</v>
      </c>
      <c r="F12" s="1348"/>
      <c r="G12" s="1349"/>
      <c r="H12" s="1350"/>
    </row>
    <row r="13" spans="1:39" ht="25.5" customHeight="1">
      <c r="A13" s="1347" t="s">
        <v>254</v>
      </c>
      <c r="B13" s="1348"/>
      <c r="C13" s="1361"/>
      <c r="D13" s="1361"/>
      <c r="E13" s="1362" t="s">
        <v>255</v>
      </c>
      <c r="F13" s="1362"/>
      <c r="G13" s="1363"/>
      <c r="H13" s="1364"/>
    </row>
    <row r="14" spans="1:39" ht="15" customHeight="1">
      <c r="A14" s="1347" t="s">
        <v>256</v>
      </c>
      <c r="B14" s="1348"/>
      <c r="C14" s="1404"/>
      <c r="D14" s="1404"/>
      <c r="E14" s="1362" t="s">
        <v>257</v>
      </c>
      <c r="F14" s="1362"/>
      <c r="G14" s="1363"/>
      <c r="H14" s="1364"/>
    </row>
    <row r="15" spans="1:39" ht="15" customHeight="1">
      <c r="A15" s="1347" t="s">
        <v>258</v>
      </c>
      <c r="B15" s="1348"/>
      <c r="C15" s="1349" t="str">
        <f>'2-7'!D9</f>
        <v>[ Contractor Company Name ]</v>
      </c>
      <c r="D15" s="1349"/>
      <c r="E15" s="1348" t="s">
        <v>259</v>
      </c>
      <c r="F15" s="1348"/>
      <c r="G15" s="1363" t="e">
        <f>'2-7'!X11+'2-7'!#REF!</f>
        <v>#REF!</v>
      </c>
      <c r="H15" s="1364"/>
    </row>
    <row r="16" spans="1:39" ht="4.3499999999999996" customHeight="1">
      <c r="A16" s="732"/>
      <c r="B16" s="733"/>
      <c r="C16" s="734"/>
      <c r="D16" s="734"/>
      <c r="E16" s="733"/>
      <c r="F16" s="733"/>
      <c r="G16" s="735"/>
      <c r="H16" s="736"/>
    </row>
    <row r="17" spans="1:21" ht="10.35" customHeight="1">
      <c r="A17" s="1365"/>
      <c r="B17" s="1365"/>
      <c r="C17" s="1365"/>
      <c r="D17" s="1365"/>
      <c r="E17" s="1365"/>
      <c r="F17" s="1365"/>
      <c r="G17" s="1365"/>
      <c r="H17" s="1365"/>
    </row>
    <row r="18" spans="1:21" ht="12.75" customHeight="1">
      <c r="A18" s="1366" t="s">
        <v>260</v>
      </c>
      <c r="B18" s="1367"/>
      <c r="C18" s="1367"/>
      <c r="D18" s="1367"/>
      <c r="E18" s="1367"/>
      <c r="F18" s="1367"/>
      <c r="G18" s="1367"/>
      <c r="H18" s="1368"/>
      <c r="I18" s="737"/>
      <c r="R18" s="715"/>
      <c r="S18" s="715"/>
      <c r="T18" s="715"/>
      <c r="U18" s="715"/>
    </row>
    <row r="19" spans="1:21" ht="13.35" customHeight="1">
      <c r="A19" s="740" t="s">
        <v>261</v>
      </c>
      <c r="B19" s="1369" t="s">
        <v>262</v>
      </c>
      <c r="C19" s="1369"/>
      <c r="D19" s="739"/>
      <c r="E19" s="740" t="s">
        <v>261</v>
      </c>
      <c r="F19" s="820" t="s">
        <v>263</v>
      </c>
      <c r="G19" s="742"/>
      <c r="H19" s="743"/>
      <c r="I19" s="738"/>
      <c r="R19" s="715"/>
      <c r="S19" s="715"/>
      <c r="T19" s="715"/>
      <c r="U19" s="715"/>
    </row>
    <row r="20" spans="1:21" ht="13.35" customHeight="1">
      <c r="A20" s="913" t="s">
        <v>261</v>
      </c>
      <c r="B20" s="1369" t="s">
        <v>264</v>
      </c>
      <c r="C20" s="1369"/>
      <c r="D20" s="744"/>
      <c r="E20" s="740" t="s">
        <v>261</v>
      </c>
      <c r="F20" s="821" t="s">
        <v>344</v>
      </c>
      <c r="G20" s="746"/>
      <c r="H20" s="747"/>
      <c r="I20" s="804"/>
      <c r="R20" s="715"/>
      <c r="S20" s="715"/>
      <c r="T20" s="715"/>
      <c r="U20" s="715"/>
    </row>
    <row r="21" spans="1:21" s="807" customFormat="1" ht="13.35" customHeight="1">
      <c r="A21" s="740" t="s">
        <v>266</v>
      </c>
      <c r="B21" s="1369" t="s">
        <v>267</v>
      </c>
      <c r="C21" s="1369"/>
      <c r="D21" s="744"/>
      <c r="E21" s="740" t="s">
        <v>261</v>
      </c>
      <c r="F21" s="1279" t="s">
        <v>268</v>
      </c>
      <c r="G21" s="1401"/>
      <c r="H21" s="1402"/>
      <c r="I21" s="805"/>
      <c r="J21" s="806"/>
      <c r="K21" s="806"/>
      <c r="L21" s="806"/>
      <c r="M21" s="806"/>
      <c r="N21" s="806"/>
      <c r="O21" s="806"/>
      <c r="P21" s="806"/>
      <c r="Q21" s="806"/>
    </row>
    <row r="22" spans="1:21" s="807" customFormat="1" ht="3.75" customHeight="1">
      <c r="A22" s="748"/>
      <c r="B22" s="1373"/>
      <c r="C22" s="1373"/>
      <c r="D22" s="1278"/>
      <c r="E22" s="749"/>
      <c r="F22" s="750"/>
      <c r="G22" s="1374"/>
      <c r="H22" s="1375"/>
      <c r="I22" s="805"/>
      <c r="J22" s="806"/>
      <c r="K22" s="806"/>
      <c r="L22" s="806"/>
      <c r="M22" s="806"/>
      <c r="N22" s="806"/>
      <c r="O22" s="806"/>
      <c r="P22" s="806"/>
      <c r="Q22" s="806"/>
    </row>
    <row r="23" spans="1:21" s="810" customFormat="1" ht="10.35" customHeight="1">
      <c r="A23" s="1376"/>
      <c r="B23" s="1376"/>
      <c r="C23" s="1376"/>
      <c r="D23" s="1376"/>
      <c r="E23" s="1376"/>
      <c r="F23" s="1376"/>
      <c r="G23" s="1376"/>
      <c r="H23" s="1376"/>
      <c r="I23" s="719"/>
      <c r="J23" s="808"/>
      <c r="K23" s="808"/>
      <c r="L23" s="808"/>
      <c r="M23" s="809"/>
      <c r="N23" s="809"/>
      <c r="O23" s="809"/>
      <c r="P23" s="809"/>
      <c r="Q23" s="809"/>
    </row>
    <row r="24" spans="1:21" ht="47.25" customHeight="1">
      <c r="A24" s="1377" t="s">
        <v>269</v>
      </c>
      <c r="B24" s="1378"/>
      <c r="C24" s="1378"/>
      <c r="D24" s="1379"/>
      <c r="E24" s="1379"/>
      <c r="F24" s="1379"/>
      <c r="G24" s="901" t="s">
        <v>270</v>
      </c>
      <c r="H24" s="753" t="s">
        <v>271</v>
      </c>
    </row>
    <row r="25" spans="1:21" ht="15" customHeight="1">
      <c r="A25" s="754"/>
      <c r="B25" s="1380" t="s">
        <v>272</v>
      </c>
      <c r="C25" s="1380"/>
      <c r="D25" s="1380"/>
      <c r="E25" s="1380"/>
      <c r="F25" s="1380"/>
      <c r="G25" s="900">
        <v>0.3</v>
      </c>
      <c r="H25" s="755">
        <v>0.42370000000000002</v>
      </c>
    </row>
    <row r="26" spans="1:21" ht="15" customHeight="1">
      <c r="A26" s="759"/>
      <c r="B26" s="1381" t="s">
        <v>274</v>
      </c>
      <c r="C26" s="1381"/>
      <c r="D26" s="1381"/>
      <c r="E26" s="1381"/>
      <c r="F26" s="1381"/>
      <c r="G26" s="900">
        <v>0.26600000000000001</v>
      </c>
      <c r="H26" s="760">
        <v>0.3458</v>
      </c>
    </row>
    <row r="27" spans="1:21" ht="15" customHeight="1">
      <c r="A27" s="759"/>
      <c r="B27" s="1381" t="s">
        <v>276</v>
      </c>
      <c r="C27" s="1381"/>
      <c r="D27" s="1381"/>
      <c r="E27" s="1381"/>
      <c r="F27" s="1381"/>
      <c r="G27" s="900">
        <v>7.0300000000000001E-2</v>
      </c>
      <c r="H27" s="760" t="s">
        <v>277</v>
      </c>
    </row>
    <row r="28" spans="1:21" ht="15" customHeight="1">
      <c r="A28" s="759"/>
      <c r="B28" s="1381" t="s">
        <v>279</v>
      </c>
      <c r="C28" s="1381"/>
      <c r="D28" s="1381"/>
      <c r="E28" s="1381"/>
      <c r="F28" s="1381"/>
      <c r="G28" s="1098">
        <v>5.0999999999999997E-2</v>
      </c>
      <c r="H28" s="760" t="s">
        <v>277</v>
      </c>
    </row>
    <row r="29" spans="1:21" ht="15" customHeight="1">
      <c r="A29" s="763"/>
      <c r="B29" s="1099" t="s">
        <v>281</v>
      </c>
      <c r="C29" s="1382" t="s">
        <v>282</v>
      </c>
      <c r="D29" s="1383"/>
      <c r="E29" s="1383"/>
      <c r="F29" s="1383"/>
      <c r="G29" s="1384"/>
      <c r="H29" s="1385"/>
    </row>
    <row r="30" spans="1:21" ht="15" customHeight="1">
      <c r="A30" s="763"/>
      <c r="B30" s="1386" t="s">
        <v>284</v>
      </c>
      <c r="C30" s="1386"/>
      <c r="D30" s="1386"/>
      <c r="E30" s="1386"/>
      <c r="F30" s="1386"/>
      <c r="G30" s="898">
        <v>3.5150000000000001E-2</v>
      </c>
      <c r="H30" s="764" t="s">
        <v>277</v>
      </c>
    </row>
    <row r="31" spans="1:21" ht="15" customHeight="1">
      <c r="A31" s="766"/>
      <c r="B31" s="1372" t="s">
        <v>286</v>
      </c>
      <c r="C31" s="1372"/>
      <c r="D31" s="1372"/>
      <c r="E31" s="1372"/>
      <c r="F31" s="1372"/>
      <c r="G31" s="899">
        <v>0.4</v>
      </c>
      <c r="H31" s="767" t="s">
        <v>277</v>
      </c>
      <c r="J31" s="751"/>
      <c r="K31" s="752"/>
    </row>
    <row r="32" spans="1:21" ht="22.5" customHeight="1">
      <c r="A32" s="1389" t="s">
        <v>288</v>
      </c>
      <c r="B32" s="1389"/>
      <c r="C32" s="1389"/>
      <c r="D32" s="1389"/>
      <c r="E32" s="1389"/>
      <c r="F32" s="1389"/>
      <c r="G32" s="1389"/>
      <c r="H32" s="1389"/>
      <c r="J32" s="752"/>
      <c r="K32" s="752"/>
    </row>
    <row r="33" spans="1:12" ht="14.25" customHeight="1">
      <c r="A33" s="1390" t="s">
        <v>290</v>
      </c>
      <c r="B33" s="1390"/>
      <c r="C33" s="1390"/>
      <c r="D33" s="1390"/>
      <c r="E33" s="1390"/>
      <c r="F33" s="1390"/>
      <c r="G33" s="1390"/>
      <c r="H33" s="1390"/>
      <c r="J33" s="752"/>
      <c r="K33" s="752"/>
    </row>
    <row r="34" spans="1:12" ht="14.25" customHeight="1">
      <c r="A34" s="768" t="s">
        <v>292</v>
      </c>
      <c r="B34" s="1387" t="s">
        <v>293</v>
      </c>
      <c r="C34" s="1387"/>
      <c r="D34" s="1387"/>
      <c r="E34" s="1387"/>
      <c r="F34" s="1387"/>
      <c r="G34" s="1391">
        <f>'2-7'!S14</f>
        <v>0</v>
      </c>
      <c r="H34" s="1391"/>
      <c r="J34" s="756">
        <f>G30</f>
        <v>3.5150000000000001E-2</v>
      </c>
      <c r="K34" s="757" t="e">
        <f>IF(H$39&gt;50000000,"SUBMIT",ROUND(H$39/100*H$42/365*J34,0))</f>
        <v>#REF!</v>
      </c>
      <c r="L34" s="758" t="s">
        <v>273</v>
      </c>
    </row>
    <row r="35" spans="1:12" ht="14.25" customHeight="1">
      <c r="A35" s="768" t="s">
        <v>294</v>
      </c>
      <c r="B35" s="1387" t="s">
        <v>295</v>
      </c>
      <c r="C35" s="1387"/>
      <c r="D35" s="1387"/>
      <c r="E35" s="1387"/>
      <c r="F35" s="1387"/>
      <c r="G35" s="1392">
        <f>'2-7'!S15</f>
        <v>0</v>
      </c>
      <c r="H35" s="1392"/>
      <c r="J35" s="756">
        <f>G28</f>
        <v>5.0999999999999997E-2</v>
      </c>
      <c r="K35" s="757" t="e">
        <f>IF(H$39&gt;50000000,"SUBMIT",ROUND(H$39/100*H$42/365*J35,0))</f>
        <v>#REF!</v>
      </c>
      <c r="L35" s="758" t="s">
        <v>275</v>
      </c>
    </row>
    <row r="36" spans="1:12" ht="14.25" customHeight="1">
      <c r="A36" s="768" t="s">
        <v>296</v>
      </c>
      <c r="B36" s="1387" t="s">
        <v>338</v>
      </c>
      <c r="C36" s="1387"/>
      <c r="D36" s="1387"/>
      <c r="E36" s="1387"/>
      <c r="F36" s="1387"/>
      <c r="G36" s="1387"/>
      <c r="H36" s="822" t="e">
        <f>('2-7'!#REF!)</f>
        <v>#REF!</v>
      </c>
      <c r="J36" s="761" t="str">
        <f>H28</f>
        <v>N/A</v>
      </c>
      <c r="K36" s="762" t="e">
        <f>IF(H$39&gt;50000000,"SUBMIT",ROUND(H$39/100*H$42/365*J36,0))</f>
        <v>#REF!</v>
      </c>
      <c r="L36" s="758" t="s">
        <v>278</v>
      </c>
    </row>
    <row r="37" spans="1:12" ht="14.25" customHeight="1">
      <c r="A37" s="768"/>
      <c r="B37" s="1388" t="s">
        <v>298</v>
      </c>
      <c r="C37" s="1388"/>
      <c r="D37" s="1388"/>
      <c r="E37" s="1388"/>
      <c r="F37" s="1388"/>
      <c r="G37" s="1388"/>
      <c r="H37" s="811" t="s">
        <v>299</v>
      </c>
      <c r="J37" s="761"/>
      <c r="K37" s="762"/>
      <c r="L37" s="758"/>
    </row>
    <row r="38" spans="1:12" ht="14.25" customHeight="1">
      <c r="A38" s="768"/>
      <c r="B38" s="769" t="s">
        <v>300</v>
      </c>
      <c r="C38" s="1276"/>
      <c r="D38" s="1276"/>
      <c r="E38" s="1276"/>
      <c r="G38" s="812" t="s">
        <v>277</v>
      </c>
      <c r="H38" s="813"/>
      <c r="J38" s="761"/>
      <c r="K38" s="762"/>
      <c r="L38" s="758"/>
    </row>
    <row r="39" spans="1:12" ht="14.25" customHeight="1">
      <c r="A39" s="768" t="s">
        <v>301</v>
      </c>
      <c r="B39" s="1387" t="s">
        <v>302</v>
      </c>
      <c r="C39" s="1387"/>
      <c r="D39" s="1387"/>
      <c r="E39" s="1387"/>
      <c r="F39" s="1387"/>
      <c r="G39" s="1387"/>
      <c r="H39" s="823" t="e">
        <f>H36</f>
        <v>#REF!</v>
      </c>
      <c r="J39" s="756">
        <f>G27</f>
        <v>7.0300000000000001E-2</v>
      </c>
      <c r="K39" s="757" t="e">
        <f>IF(H$39&gt;50000000,"SUBMIT",ROUND(H$39/100*H$42/365*J39,0))</f>
        <v>#REF!</v>
      </c>
      <c r="L39" s="758" t="s">
        <v>280</v>
      </c>
    </row>
    <row r="40" spans="1:12" ht="14.25" customHeight="1">
      <c r="A40" s="768" t="s">
        <v>303</v>
      </c>
      <c r="B40" s="1387" t="s">
        <v>304</v>
      </c>
      <c r="C40" s="1387"/>
      <c r="D40" s="1387"/>
      <c r="E40" s="1387"/>
      <c r="F40" s="1387"/>
      <c r="G40" s="1387"/>
      <c r="H40" s="814">
        <v>0</v>
      </c>
      <c r="J40" s="756" t="str">
        <f>H27</f>
        <v>N/A</v>
      </c>
      <c r="K40" s="757" t="e">
        <f>IF(H$39&gt;50000000,"SUBMIT",ROUND(H$39/100*H$42/365*J40,0))</f>
        <v>#REF!</v>
      </c>
      <c r="L40" s="758" t="s">
        <v>283</v>
      </c>
    </row>
    <row r="41" spans="1:12" ht="14.25" customHeight="1">
      <c r="A41" s="768" t="s">
        <v>305</v>
      </c>
      <c r="B41" s="1387" t="s">
        <v>306</v>
      </c>
      <c r="C41" s="1387"/>
      <c r="D41" s="1387"/>
      <c r="E41" s="1387"/>
      <c r="F41" s="1387"/>
      <c r="G41" s="1387"/>
      <c r="H41" s="1097">
        <v>5.8000000000000003E-2</v>
      </c>
      <c r="I41" s="765"/>
      <c r="J41" s="756">
        <f>G26</f>
        <v>0.26600000000000001</v>
      </c>
      <c r="K41" s="757" t="e">
        <f>IF(H$39&gt;10000000,"SUBMIT",ROUND(H$39/100*H$42/365*J41,0))</f>
        <v>#REF!</v>
      </c>
      <c r="L41" s="758" t="s">
        <v>285</v>
      </c>
    </row>
    <row r="42" spans="1:12" ht="14.25" customHeight="1">
      <c r="A42" s="768" t="s">
        <v>307</v>
      </c>
      <c r="B42" s="1387" t="s">
        <v>308</v>
      </c>
      <c r="C42" s="1387"/>
      <c r="D42" s="1387"/>
      <c r="E42" s="1387"/>
      <c r="F42" s="1387"/>
      <c r="G42" s="1387"/>
      <c r="H42" s="772">
        <f>IF(H41="","",G35-G34+1)</f>
        <v>1</v>
      </c>
      <c r="J42" s="756">
        <f>G25</f>
        <v>0.3</v>
      </c>
      <c r="K42" s="757" t="e">
        <f>IF(H$39&gt;25000000,"SUBMIT",ROUND(H$39/100*H$42/365*J42,0))</f>
        <v>#REF!</v>
      </c>
      <c r="L42" s="758" t="s">
        <v>287</v>
      </c>
    </row>
    <row r="43" spans="1:12" ht="14.25" customHeight="1">
      <c r="A43" s="768" t="s">
        <v>309</v>
      </c>
      <c r="B43" s="1387" t="s">
        <v>310</v>
      </c>
      <c r="C43" s="1387"/>
      <c r="D43" s="1387"/>
      <c r="E43" s="1387"/>
      <c r="F43" s="1387"/>
      <c r="G43" s="1387"/>
      <c r="H43" s="776" t="e">
        <f>ROUND(H39/100*H42/365*H41,0)</f>
        <v>#REF!</v>
      </c>
      <c r="J43" s="756">
        <f>H26</f>
        <v>0.3458</v>
      </c>
      <c r="K43" s="757" t="e">
        <f>IF(H$39&gt;10000000,"SUBMIT",ROUND(H$39/100*H$42/365*J43,0))</f>
        <v>#REF!</v>
      </c>
      <c r="L43" s="758" t="s">
        <v>289</v>
      </c>
    </row>
    <row r="44" spans="1:12" ht="14.25" customHeight="1">
      <c r="A44" s="768" t="s">
        <v>311</v>
      </c>
      <c r="B44" s="1387" t="s">
        <v>312</v>
      </c>
      <c r="C44" s="1387"/>
      <c r="D44" s="1387"/>
      <c r="E44" s="1387"/>
      <c r="F44" s="1387"/>
      <c r="G44" s="1387"/>
      <c r="H44" s="776" t="e">
        <f>ROUND(H39/100*H$40/365*J27,0)</f>
        <v>#REF!</v>
      </c>
      <c r="J44" s="756">
        <f>H25</f>
        <v>0.42370000000000002</v>
      </c>
      <c r="K44" s="757" t="e">
        <f>IF(H$39&gt;25000000,"SUBMIT",ROUND(H$39/100*H$42/365*J44,0))</f>
        <v>#REF!</v>
      </c>
      <c r="L44" s="758" t="s">
        <v>291</v>
      </c>
    </row>
    <row r="45" spans="1:12" ht="14.25" customHeight="1">
      <c r="A45" s="768" t="s">
        <v>313</v>
      </c>
      <c r="B45" s="1276" t="s">
        <v>314</v>
      </c>
      <c r="C45" s="1276"/>
      <c r="D45" s="1276"/>
      <c r="E45" s="1276"/>
      <c r="F45" s="1276"/>
      <c r="G45" s="1276"/>
      <c r="H45" s="824" t="e">
        <f>IF(H43="","",ROUND((H43+H44)*0.032,2))</f>
        <v>#REF!</v>
      </c>
      <c r="J45" s="756"/>
      <c r="K45" s="757"/>
      <c r="L45" s="758"/>
    </row>
    <row r="46" spans="1:12" ht="14.25" customHeight="1">
      <c r="A46" s="768" t="s">
        <v>315</v>
      </c>
      <c r="B46" s="1387" t="s">
        <v>316</v>
      </c>
      <c r="C46" s="1387"/>
      <c r="D46" s="1387"/>
      <c r="E46" s="1387"/>
      <c r="F46" s="1387"/>
      <c r="G46" s="1387"/>
      <c r="H46" s="777" t="e">
        <f>IF(H43="","",H43+H44+H45)</f>
        <v>#REF!</v>
      </c>
    </row>
    <row r="47" spans="1:12" ht="14.25" customHeight="1" thickBot="1">
      <c r="A47" s="768" t="s">
        <v>317</v>
      </c>
      <c r="B47" s="1387" t="s">
        <v>318</v>
      </c>
      <c r="C47" s="1387"/>
      <c r="D47" s="1387"/>
      <c r="E47" s="1387"/>
      <c r="F47" s="1387"/>
      <c r="G47" s="1387"/>
      <c r="H47" s="776" t="e">
        <f>IF(H43="","",ROUND(H39/100*0.1,0))</f>
        <v>#REF!</v>
      </c>
      <c r="J47" s="756">
        <f>G39</f>
        <v>0</v>
      </c>
      <c r="K47" s="757" t="e">
        <f>IF(#REF!&gt;50000000,"SUBMIT",ROUND(#REF!/100*H$41/365*J47,0))</f>
        <v>#REF!</v>
      </c>
      <c r="L47" s="758" t="s">
        <v>280</v>
      </c>
    </row>
    <row r="48" spans="1:12" ht="14.25" customHeight="1" thickBot="1">
      <c r="A48" s="781" t="s">
        <v>319</v>
      </c>
      <c r="B48" s="1393" t="s">
        <v>320</v>
      </c>
      <c r="C48" s="1393"/>
      <c r="D48" s="1393"/>
      <c r="E48" s="1393"/>
      <c r="F48" s="1393"/>
      <c r="G48" s="1393"/>
      <c r="H48" s="782" t="e">
        <f>IF(H43="","",H46+H47)</f>
        <v>#REF!</v>
      </c>
    </row>
    <row r="49" spans="1:21" ht="9.6" customHeight="1">
      <c r="A49" s="781"/>
      <c r="B49" s="1277"/>
      <c r="C49" s="1277"/>
      <c r="D49" s="1277"/>
      <c r="E49" s="1277"/>
      <c r="F49" s="1277"/>
      <c r="G49" s="1277"/>
      <c r="H49" s="783"/>
    </row>
    <row r="50" spans="1:21" ht="14.1" customHeight="1">
      <c r="A50" s="784"/>
      <c r="B50" s="1394"/>
      <c r="C50" s="1394"/>
      <c r="D50" s="1394"/>
      <c r="E50" s="1394"/>
      <c r="F50" s="784"/>
      <c r="G50" s="1395"/>
      <c r="H50" s="1395"/>
    </row>
    <row r="51" spans="1:21" s="775" customFormat="1" ht="14.1" customHeight="1">
      <c r="B51" s="1397" t="s">
        <v>321</v>
      </c>
      <c r="C51" s="1397"/>
      <c r="D51" s="1397"/>
      <c r="E51" s="1397"/>
      <c r="F51" s="1274"/>
      <c r="G51" s="1398" t="s">
        <v>322</v>
      </c>
      <c r="H51" s="1398"/>
      <c r="I51" s="773"/>
      <c r="J51" s="773"/>
      <c r="K51" s="773"/>
      <c r="L51" s="773"/>
      <c r="M51" s="773"/>
      <c r="N51" s="773"/>
      <c r="O51" s="773"/>
      <c r="P51" s="773"/>
      <c r="Q51" s="773"/>
      <c r="R51" s="774"/>
      <c r="S51" s="774"/>
      <c r="T51" s="774"/>
      <c r="U51" s="774"/>
    </row>
    <row r="52" spans="1:21" ht="14.1" customHeight="1">
      <c r="A52" s="784"/>
      <c r="B52" s="1399"/>
      <c r="C52" s="1394"/>
      <c r="D52" s="1394"/>
      <c r="E52" s="1394"/>
      <c r="F52" s="784"/>
      <c r="G52" s="1394"/>
      <c r="H52" s="1394"/>
    </row>
    <row r="53" spans="1:21" s="775" customFormat="1" ht="14.1" customHeight="1" thickBot="1">
      <c r="A53" s="785"/>
      <c r="B53" s="1400" t="s">
        <v>323</v>
      </c>
      <c r="C53" s="1400"/>
      <c r="D53" s="1400"/>
      <c r="E53" s="1400"/>
      <c r="F53" s="1275"/>
      <c r="G53" s="1400" t="s">
        <v>324</v>
      </c>
      <c r="H53" s="1400"/>
      <c r="I53" s="773"/>
      <c r="J53" s="773"/>
      <c r="K53" s="773"/>
      <c r="L53" s="773"/>
      <c r="M53" s="773"/>
      <c r="N53" s="773"/>
      <c r="O53" s="773"/>
      <c r="P53" s="773"/>
      <c r="Q53" s="773"/>
      <c r="R53" s="774"/>
      <c r="S53" s="774"/>
      <c r="T53" s="774"/>
      <c r="U53" s="774"/>
    </row>
    <row r="54" spans="1:21">
      <c r="A54" s="1396" t="s">
        <v>325</v>
      </c>
      <c r="B54" s="1396"/>
      <c r="C54" s="1396"/>
      <c r="D54" s="1396"/>
      <c r="E54" s="1396"/>
      <c r="F54" s="1396"/>
      <c r="G54" s="1396"/>
      <c r="H54" s="1396"/>
    </row>
    <row r="55" spans="1:21" s="780" customFormat="1" ht="12.75" customHeight="1">
      <c r="A55" s="786" t="s">
        <v>326</v>
      </c>
      <c r="B55" s="787"/>
      <c r="C55" s="788"/>
      <c r="D55" s="788"/>
      <c r="E55" s="788"/>
      <c r="F55" s="786" t="s">
        <v>327</v>
      </c>
      <c r="G55" s="788"/>
      <c r="H55" s="788"/>
      <c r="I55" s="778"/>
      <c r="J55" s="778"/>
      <c r="K55" s="778"/>
      <c r="L55" s="778"/>
      <c r="M55" s="778"/>
      <c r="N55" s="778"/>
      <c r="O55" s="778"/>
      <c r="P55" s="778"/>
      <c r="Q55" s="778"/>
      <c r="R55" s="779"/>
      <c r="S55" s="779"/>
      <c r="T55" s="779"/>
      <c r="U55" s="779"/>
    </row>
    <row r="56" spans="1:21" ht="12.75" customHeight="1">
      <c r="A56" s="789" t="s">
        <v>328</v>
      </c>
      <c r="B56" s="790"/>
      <c r="C56" s="790"/>
      <c r="D56" s="791" t="s">
        <v>329</v>
      </c>
      <c r="F56" s="792" t="s">
        <v>330</v>
      </c>
      <c r="G56" s="790"/>
      <c r="H56" s="793"/>
    </row>
    <row r="57" spans="1:21">
      <c r="A57" s="794" t="s">
        <v>331</v>
      </c>
      <c r="B57" s="125"/>
      <c r="C57" s="125"/>
      <c r="D57" s="793"/>
      <c r="F57" s="795" t="s">
        <v>332</v>
      </c>
      <c r="G57" s="127"/>
      <c r="H57" s="793"/>
    </row>
    <row r="58" spans="1:21">
      <c r="A58" s="796" t="s">
        <v>333</v>
      </c>
      <c r="B58" s="797"/>
      <c r="C58" s="797"/>
      <c r="D58" s="793"/>
      <c r="F58" s="798" t="s">
        <v>334</v>
      </c>
      <c r="G58" s="797"/>
      <c r="H58" s="793"/>
    </row>
    <row r="59" spans="1:21">
      <c r="A59" s="819"/>
    </row>
  </sheetData>
  <mergeCells count="75">
    <mergeCell ref="A54:H54"/>
    <mergeCell ref="B51:E51"/>
    <mergeCell ref="G51:H51"/>
    <mergeCell ref="B52:E52"/>
    <mergeCell ref="G52:H52"/>
    <mergeCell ref="B53:E53"/>
    <mergeCell ref="G53:H53"/>
    <mergeCell ref="B50:E50"/>
    <mergeCell ref="G50:H50"/>
    <mergeCell ref="B36:G36"/>
    <mergeCell ref="B39:G39"/>
    <mergeCell ref="B40:G40"/>
    <mergeCell ref="B41:G41"/>
    <mergeCell ref="B42:G42"/>
    <mergeCell ref="B37:G37"/>
    <mergeCell ref="B43:G43"/>
    <mergeCell ref="B44:G44"/>
    <mergeCell ref="B46:G46"/>
    <mergeCell ref="B47:G47"/>
    <mergeCell ref="B48:G48"/>
    <mergeCell ref="A32:H32"/>
    <mergeCell ref="A33:H33"/>
    <mergeCell ref="B34:F34"/>
    <mergeCell ref="G34:H34"/>
    <mergeCell ref="B35:F35"/>
    <mergeCell ref="G35:H35"/>
    <mergeCell ref="B31:F31"/>
    <mergeCell ref="B22:C22"/>
    <mergeCell ref="G22:H22"/>
    <mergeCell ref="A23:H23"/>
    <mergeCell ref="A24:F24"/>
    <mergeCell ref="B25:F25"/>
    <mergeCell ref="B26:F26"/>
    <mergeCell ref="B27:F27"/>
    <mergeCell ref="B28:F28"/>
    <mergeCell ref="C29:F29"/>
    <mergeCell ref="G29:H29"/>
    <mergeCell ref="B30:F30"/>
    <mergeCell ref="A18:H18"/>
    <mergeCell ref="B19:C19"/>
    <mergeCell ref="B20:C20"/>
    <mergeCell ref="B21:C21"/>
    <mergeCell ref="G21:H21"/>
    <mergeCell ref="A15:B15"/>
    <mergeCell ref="C15:D15"/>
    <mergeCell ref="E15:F15"/>
    <mergeCell ref="G15:H15"/>
    <mergeCell ref="A17:H17"/>
    <mergeCell ref="A13:B13"/>
    <mergeCell ref="C13:D13"/>
    <mergeCell ref="E13:F13"/>
    <mergeCell ref="G13:H13"/>
    <mergeCell ref="A14:B14"/>
    <mergeCell ref="C14:D14"/>
    <mergeCell ref="E14:F14"/>
    <mergeCell ref="G14:H14"/>
    <mergeCell ref="A11:B11"/>
    <mergeCell ref="C11:D11"/>
    <mergeCell ref="E11:F11"/>
    <mergeCell ref="G11:H11"/>
    <mergeCell ref="A12:B12"/>
    <mergeCell ref="C12:D12"/>
    <mergeCell ref="E12:F12"/>
    <mergeCell ref="G12:H12"/>
    <mergeCell ref="A6:H6"/>
    <mergeCell ref="A8:H8"/>
    <mergeCell ref="A10:B10"/>
    <mergeCell ref="C10:D10"/>
    <mergeCell ref="A1:H1"/>
    <mergeCell ref="A2:H2"/>
    <mergeCell ref="A3:H3"/>
    <mergeCell ref="A4:H4"/>
    <mergeCell ref="A5:H5"/>
    <mergeCell ref="E10:F10"/>
    <mergeCell ref="G10:H10"/>
  </mergeCells>
  <printOptions horizontalCentered="1"/>
  <pageMargins left="0.47" right="0.25" top="0.51" bottom="0.48" header="0.27" footer="0.17"/>
  <pageSetup scale="84" orientation="portrait" r:id="rId1"/>
  <headerFooter alignWithMargins="0">
    <oddFooter>&amp;R&amp;8&amp;F</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3">
    <tabColor rgb="FFFFFF00"/>
  </sheetPr>
  <dimension ref="A1:U49"/>
  <sheetViews>
    <sheetView workbookViewId="0">
      <selection activeCell="H40" sqref="H40"/>
    </sheetView>
  </sheetViews>
  <sheetFormatPr defaultRowHeight="12.75"/>
  <cols>
    <col min="1" max="1" width="5.1640625" style="343" customWidth="1"/>
    <col min="2" max="3" width="13.83203125" style="343" customWidth="1"/>
    <col min="4" max="4" width="24" style="343" customWidth="1"/>
    <col min="5" max="8" width="13.83203125" style="343" customWidth="1"/>
    <col min="9" max="12" width="9.33203125" style="341"/>
    <col min="13" max="14" width="9.33203125" style="342"/>
    <col min="15" max="15" width="9.33203125" style="343"/>
    <col min="16" max="21" width="9.33203125" style="342"/>
    <col min="22" max="16384" width="9.33203125" style="343"/>
  </cols>
  <sheetData>
    <row r="1" spans="1:21" ht="15.75">
      <c r="A1" s="1405" t="s">
        <v>240</v>
      </c>
      <c r="B1" s="1405"/>
      <c r="C1" s="1405"/>
      <c r="D1" s="1405"/>
      <c r="E1" s="1405"/>
      <c r="F1" s="1405"/>
      <c r="G1" s="1405"/>
      <c r="H1" s="1405"/>
    </row>
    <row r="2" spans="1:21" ht="15.75">
      <c r="A2" s="1405" t="s">
        <v>345</v>
      </c>
      <c r="B2" s="1405"/>
      <c r="C2" s="1405"/>
      <c r="D2" s="1405"/>
      <c r="E2" s="1405"/>
      <c r="F2" s="1405"/>
      <c r="G2" s="1405"/>
      <c r="H2" s="1405"/>
    </row>
    <row r="3" spans="1:21">
      <c r="A3" s="1406" t="s">
        <v>346</v>
      </c>
      <c r="B3" s="1406"/>
      <c r="C3" s="1406"/>
      <c r="D3" s="1406"/>
      <c r="E3" s="1406"/>
      <c r="F3" s="1406"/>
      <c r="G3" s="1406"/>
      <c r="H3" s="1406"/>
    </row>
    <row r="4" spans="1:21">
      <c r="A4" s="1407" t="s">
        <v>347</v>
      </c>
      <c r="B4" s="1407"/>
      <c r="C4" s="1407"/>
      <c r="D4" s="1407"/>
      <c r="E4" s="1407"/>
      <c r="F4" s="1407"/>
      <c r="G4" s="1407"/>
      <c r="H4" s="1407"/>
    </row>
    <row r="5" spans="1:21">
      <c r="A5" s="1408" t="s">
        <v>17</v>
      </c>
      <c r="B5" s="1408"/>
      <c r="C5" s="1409" t="str">
        <f>+'2-7'!D5</f>
        <v>SELECT CAMPUS</v>
      </c>
      <c r="D5" s="1409"/>
      <c r="E5" s="1408" t="s">
        <v>250</v>
      </c>
      <c r="F5" s="1408"/>
      <c r="G5" s="1409"/>
      <c r="H5" s="1409"/>
    </row>
    <row r="6" spans="1:21">
      <c r="A6" s="1408" t="s">
        <v>251</v>
      </c>
      <c r="B6" s="1408"/>
      <c r="C6" s="1410" t="str">
        <f>+'2-7'!D6</f>
        <v>[ PROJECT NAME ]</v>
      </c>
      <c r="D6" s="1410"/>
      <c r="E6" s="1408" t="s">
        <v>348</v>
      </c>
      <c r="F6" s="1408"/>
      <c r="G6" s="1410"/>
      <c r="H6" s="1410"/>
    </row>
    <row r="7" spans="1:21">
      <c r="A7" s="1408" t="s">
        <v>254</v>
      </c>
      <c r="B7" s="1408"/>
      <c r="C7" s="1410"/>
      <c r="D7" s="1410"/>
      <c r="E7" s="1411" t="s">
        <v>255</v>
      </c>
      <c r="F7" s="1411"/>
      <c r="G7" s="1412"/>
      <c r="H7" s="1412"/>
    </row>
    <row r="8" spans="1:21">
      <c r="A8" s="1408" t="s">
        <v>256</v>
      </c>
      <c r="B8" s="1408"/>
      <c r="C8" s="1410"/>
      <c r="D8" s="1410"/>
      <c r="E8" s="1413" t="s">
        <v>257</v>
      </c>
      <c r="F8" s="1413"/>
      <c r="G8" s="1412"/>
      <c r="H8" s="1412"/>
    </row>
    <row r="9" spans="1:21">
      <c r="A9" s="1408" t="s">
        <v>258</v>
      </c>
      <c r="B9" s="1408"/>
      <c r="C9" s="1410" t="str">
        <f>+'2-7'!D9</f>
        <v>[ Contractor Company Name ]</v>
      </c>
      <c r="D9" s="1410"/>
      <c r="E9" s="1408" t="s">
        <v>259</v>
      </c>
      <c r="F9" s="1408"/>
      <c r="G9" s="1412" t="e">
        <f>+'2-7'!X11+'2-7'!#REF!</f>
        <v>#REF!</v>
      </c>
      <c r="H9" s="1412"/>
    </row>
    <row r="10" spans="1:21">
      <c r="A10" s="1420"/>
      <c r="B10" s="1420"/>
      <c r="C10" s="1420"/>
      <c r="D10" s="1420"/>
      <c r="E10" s="1420"/>
      <c r="F10" s="1420"/>
      <c r="G10" s="1420"/>
      <c r="H10" s="1420"/>
    </row>
    <row r="11" spans="1:21" ht="15">
      <c r="A11" s="1421" t="s">
        <v>349</v>
      </c>
      <c r="B11" s="1422"/>
      <c r="C11" s="1422"/>
      <c r="D11" s="1422"/>
      <c r="E11" s="1422"/>
      <c r="F11" s="1422"/>
      <c r="G11" s="1422"/>
      <c r="H11" s="1423"/>
      <c r="I11" s="344"/>
      <c r="Q11" s="343"/>
      <c r="R11" s="343"/>
      <c r="S11" s="343"/>
      <c r="T11" s="343"/>
      <c r="U11" s="343"/>
    </row>
    <row r="12" spans="1:21" ht="15">
      <c r="A12" s="345" t="s">
        <v>261</v>
      </c>
      <c r="B12" s="1419" t="s">
        <v>350</v>
      </c>
      <c r="C12" s="1419"/>
      <c r="D12" s="346"/>
      <c r="E12" s="347" t="s">
        <v>261</v>
      </c>
      <c r="F12" s="348" t="s">
        <v>263</v>
      </c>
      <c r="G12" s="348"/>
      <c r="H12" s="349"/>
      <c r="I12" s="350"/>
      <c r="Q12" s="343"/>
      <c r="R12" s="343"/>
      <c r="S12" s="343"/>
      <c r="T12" s="343"/>
      <c r="U12" s="343"/>
    </row>
    <row r="13" spans="1:21" ht="15">
      <c r="A13" s="345" t="s">
        <v>261</v>
      </c>
      <c r="B13" s="1419" t="s">
        <v>267</v>
      </c>
      <c r="C13" s="1419"/>
      <c r="D13" s="1280"/>
      <c r="E13" s="347" t="s">
        <v>261</v>
      </c>
      <c r="F13" s="351" t="s">
        <v>265</v>
      </c>
      <c r="G13" s="351"/>
      <c r="H13" s="352"/>
      <c r="I13" s="353"/>
      <c r="Q13" s="343"/>
      <c r="R13" s="343"/>
      <c r="S13" s="343"/>
      <c r="T13" s="343"/>
      <c r="U13" s="343"/>
    </row>
    <row r="14" spans="1:21" s="357" customFormat="1" ht="15">
      <c r="A14" s="345" t="s">
        <v>261</v>
      </c>
      <c r="B14" s="1419" t="s">
        <v>351</v>
      </c>
      <c r="C14" s="1419"/>
      <c r="D14" s="1280"/>
      <c r="E14" s="347" t="s">
        <v>261</v>
      </c>
      <c r="F14" s="351" t="s">
        <v>268</v>
      </c>
      <c r="G14" s="1424"/>
      <c r="H14" s="1425"/>
      <c r="I14" s="354"/>
      <c r="J14" s="355"/>
      <c r="K14" s="355"/>
      <c r="L14" s="355"/>
      <c r="M14" s="356"/>
      <c r="N14" s="356"/>
      <c r="P14" s="356"/>
    </row>
    <row r="15" spans="1:21" s="357" customFormat="1" ht="15">
      <c r="A15" s="358"/>
      <c r="B15" s="1281"/>
      <c r="C15" s="1281"/>
      <c r="D15" s="1281"/>
      <c r="E15" s="359"/>
      <c r="F15" s="360"/>
      <c r="G15" s="361"/>
      <c r="H15" s="362"/>
      <c r="I15" s="354"/>
      <c r="J15" s="355"/>
      <c r="K15" s="355"/>
      <c r="L15" s="355"/>
      <c r="M15" s="356"/>
      <c r="N15" s="356"/>
      <c r="P15" s="356"/>
    </row>
    <row r="16" spans="1:21">
      <c r="A16" s="1414"/>
      <c r="B16" s="1414"/>
      <c r="C16" s="1414"/>
      <c r="D16" s="1414"/>
      <c r="E16" s="1414"/>
      <c r="F16" s="1414"/>
      <c r="G16" s="1414"/>
      <c r="H16" s="1414"/>
    </row>
    <row r="17" spans="1:12" ht="56.25">
      <c r="A17" s="1415" t="s">
        <v>352</v>
      </c>
      <c r="B17" s="1416"/>
      <c r="C17" s="1416"/>
      <c r="D17" s="1417"/>
      <c r="E17" s="1417"/>
      <c r="F17" s="1417"/>
      <c r="G17" s="363" t="s">
        <v>270</v>
      </c>
      <c r="H17" s="364" t="s">
        <v>271</v>
      </c>
    </row>
    <row r="18" spans="1:12">
      <c r="A18" s="365"/>
      <c r="B18" s="1418" t="s">
        <v>272</v>
      </c>
      <c r="C18" s="1418"/>
      <c r="D18" s="1418"/>
      <c r="E18" s="1418"/>
      <c r="F18" s="1418"/>
      <c r="G18" s="705">
        <v>0.441</v>
      </c>
      <c r="H18" s="706">
        <v>0.59499999999999997</v>
      </c>
    </row>
    <row r="19" spans="1:12">
      <c r="A19" s="366"/>
      <c r="B19" s="1419" t="s">
        <v>274</v>
      </c>
      <c r="C19" s="1419"/>
      <c r="D19" s="1419"/>
      <c r="E19" s="1419"/>
      <c r="F19" s="1419"/>
      <c r="G19" s="707">
        <v>0.3785</v>
      </c>
      <c r="H19" s="708">
        <v>0.48699999999999999</v>
      </c>
    </row>
    <row r="20" spans="1:12">
      <c r="A20" s="366"/>
      <c r="B20" s="1419" t="s">
        <v>276</v>
      </c>
      <c r="C20" s="1419"/>
      <c r="D20" s="1419"/>
      <c r="E20" s="1419"/>
      <c r="F20" s="1419"/>
      <c r="G20" s="707">
        <v>9.9000000000000005E-2</v>
      </c>
      <c r="H20" s="708">
        <v>0.127</v>
      </c>
    </row>
    <row r="21" spans="1:12">
      <c r="A21" s="366"/>
      <c r="B21" s="1419" t="s">
        <v>279</v>
      </c>
      <c r="C21" s="1419"/>
      <c r="D21" s="1419"/>
      <c r="E21" s="1419"/>
      <c r="F21" s="1419"/>
      <c r="G21" s="707">
        <v>7.17E-2</v>
      </c>
      <c r="H21" s="708">
        <v>8.4000000000000005E-2</v>
      </c>
    </row>
    <row r="22" spans="1:12">
      <c r="A22" s="367"/>
      <c r="B22" s="368" t="s">
        <v>281</v>
      </c>
      <c r="C22" s="1429"/>
      <c r="D22" s="1429"/>
      <c r="E22" s="1429"/>
      <c r="F22" s="1429"/>
      <c r="G22" s="1430"/>
      <c r="H22" s="1431"/>
    </row>
    <row r="23" spans="1:12">
      <c r="A23" s="367"/>
      <c r="B23" s="1432" t="s">
        <v>284</v>
      </c>
      <c r="C23" s="1432"/>
      <c r="D23" s="1432"/>
      <c r="E23" s="1432"/>
      <c r="F23" s="1432"/>
      <c r="G23" s="709">
        <v>4.9700000000000001E-2</v>
      </c>
      <c r="H23" s="710" t="s">
        <v>277</v>
      </c>
    </row>
    <row r="24" spans="1:12">
      <c r="A24" s="369"/>
      <c r="B24" s="1433" t="s">
        <v>286</v>
      </c>
      <c r="C24" s="1433"/>
      <c r="D24" s="1433"/>
      <c r="E24" s="1433"/>
      <c r="F24" s="1433"/>
      <c r="G24" s="711">
        <v>0.496</v>
      </c>
      <c r="H24" s="712">
        <f>G24</f>
        <v>0.496</v>
      </c>
      <c r="J24" s="370"/>
      <c r="K24" s="371"/>
    </row>
    <row r="25" spans="1:12">
      <c r="A25" s="1428" t="s">
        <v>353</v>
      </c>
      <c r="B25" s="1428"/>
      <c r="C25" s="1428"/>
      <c r="D25" s="1428"/>
      <c r="E25" s="1428"/>
      <c r="F25" s="1428"/>
      <c r="G25" s="1428"/>
      <c r="H25" s="1428"/>
      <c r="J25" s="371"/>
      <c r="K25" s="371"/>
    </row>
    <row r="26" spans="1:12">
      <c r="A26" s="372" t="s">
        <v>292</v>
      </c>
      <c r="B26" s="1426" t="s">
        <v>354</v>
      </c>
      <c r="C26" s="1426"/>
      <c r="D26" s="1426"/>
      <c r="E26" s="1426"/>
      <c r="F26" s="1426"/>
      <c r="G26" s="1427">
        <f>+'2-7'!S14</f>
        <v>0</v>
      </c>
      <c r="H26" s="1427"/>
      <c r="J26" s="373"/>
      <c r="K26" s="374"/>
      <c r="L26" s="375"/>
    </row>
    <row r="27" spans="1:12">
      <c r="A27" s="372" t="s">
        <v>294</v>
      </c>
      <c r="B27" s="1426" t="s">
        <v>355</v>
      </c>
      <c r="C27" s="1426"/>
      <c r="D27" s="1426"/>
      <c r="E27" s="1426"/>
      <c r="F27" s="1426"/>
      <c r="G27" s="1427">
        <f>+'2-7'!S15</f>
        <v>0</v>
      </c>
      <c r="H27" s="1427"/>
      <c r="J27" s="373"/>
      <c r="K27" s="374"/>
      <c r="L27" s="375"/>
    </row>
    <row r="28" spans="1:12">
      <c r="A28" s="372" t="s">
        <v>296</v>
      </c>
      <c r="B28" s="1426" t="s">
        <v>356</v>
      </c>
      <c r="C28" s="1426"/>
      <c r="D28" s="1426"/>
      <c r="E28" s="1426"/>
      <c r="F28" s="1426"/>
      <c r="G28" s="1426"/>
      <c r="H28" s="376" t="s">
        <v>357</v>
      </c>
      <c r="J28" s="377"/>
      <c r="K28" s="378"/>
      <c r="L28" s="375"/>
    </row>
    <row r="29" spans="1:12">
      <c r="A29" s="372" t="s">
        <v>301</v>
      </c>
      <c r="B29" s="1426" t="s">
        <v>358</v>
      </c>
      <c r="C29" s="1426"/>
      <c r="D29" s="1426"/>
      <c r="E29" s="1426"/>
      <c r="F29" s="1426"/>
      <c r="G29" s="1426"/>
      <c r="H29" s="704">
        <f>+'2-7'!W36</f>
        <v>0</v>
      </c>
      <c r="J29" s="377"/>
      <c r="K29" s="378"/>
      <c r="L29" s="375"/>
    </row>
    <row r="30" spans="1:12">
      <c r="A30" s="372" t="s">
        <v>303</v>
      </c>
      <c r="B30" s="1426" t="s">
        <v>359</v>
      </c>
      <c r="C30" s="1426"/>
      <c r="D30" s="1426"/>
      <c r="E30" s="1426"/>
      <c r="F30" s="1426"/>
      <c r="G30" s="1426"/>
      <c r="H30" s="379" t="e">
        <f>+'2-7'!#REF!</f>
        <v>#REF!</v>
      </c>
      <c r="J30" s="373"/>
      <c r="K30" s="374"/>
      <c r="L30" s="375"/>
    </row>
    <row r="31" spans="1:12">
      <c r="A31" s="372" t="s">
        <v>305</v>
      </c>
      <c r="B31" s="1426" t="s">
        <v>360</v>
      </c>
      <c r="C31" s="1426"/>
      <c r="D31" s="1426"/>
      <c r="E31" s="1426"/>
      <c r="F31" s="1426"/>
      <c r="G31" s="1426"/>
      <c r="H31" s="400">
        <v>0</v>
      </c>
      <c r="J31" s="373"/>
      <c r="K31" s="374"/>
      <c r="L31" s="375"/>
    </row>
    <row r="32" spans="1:12">
      <c r="A32" s="372" t="s">
        <v>307</v>
      </c>
      <c r="B32" s="1426" t="s">
        <v>361</v>
      </c>
      <c r="C32" s="1426"/>
      <c r="D32" s="1426"/>
      <c r="E32" s="1426"/>
      <c r="F32" s="1426"/>
      <c r="G32" s="1426"/>
      <c r="H32" s="401">
        <v>7.17E-2</v>
      </c>
      <c r="I32" s="380"/>
      <c r="J32" s="373"/>
      <c r="K32" s="374"/>
      <c r="L32" s="375"/>
    </row>
    <row r="33" spans="1:21">
      <c r="A33" s="372" t="s">
        <v>309</v>
      </c>
      <c r="B33" s="1426" t="s">
        <v>362</v>
      </c>
      <c r="C33" s="1426"/>
      <c r="D33" s="1426"/>
      <c r="E33" s="1426"/>
      <c r="F33" s="1426"/>
      <c r="G33" s="1426"/>
      <c r="H33" s="381">
        <f>IF(H32="________","",G27-G26+1)</f>
        <v>1</v>
      </c>
      <c r="J33" s="373"/>
      <c r="K33" s="374"/>
      <c r="L33" s="375"/>
    </row>
    <row r="34" spans="1:21">
      <c r="A34" s="372" t="s">
        <v>311</v>
      </c>
      <c r="B34" s="1426" t="s">
        <v>363</v>
      </c>
      <c r="C34" s="1426"/>
      <c r="D34" s="1426"/>
      <c r="E34" s="1426"/>
      <c r="F34" s="1426"/>
      <c r="G34" s="1426"/>
      <c r="H34" s="382">
        <f>ROUND((($H$29/100)*$H$32*($H$33/366)),-2)</f>
        <v>0</v>
      </c>
      <c r="J34" s="373"/>
      <c r="K34" s="374"/>
      <c r="L34" s="375"/>
    </row>
    <row r="35" spans="1:21">
      <c r="A35" s="372" t="s">
        <v>313</v>
      </c>
      <c r="B35" s="1426" t="s">
        <v>364</v>
      </c>
      <c r="C35" s="1426"/>
      <c r="D35" s="1426"/>
      <c r="E35" s="1426"/>
      <c r="F35" s="1426"/>
      <c r="G35" s="1426"/>
      <c r="H35" s="663">
        <f>IF(H34="","",IF(H34="SUBMIT","",ROUND((H31/100)*(H33/366)*G24,2)))</f>
        <v>0</v>
      </c>
      <c r="J35" s="373"/>
      <c r="K35" s="374"/>
      <c r="L35" s="375"/>
    </row>
    <row r="36" spans="1:21">
      <c r="A36" s="372" t="s">
        <v>315</v>
      </c>
      <c r="B36" s="664" t="s">
        <v>365</v>
      </c>
      <c r="C36" s="664"/>
      <c r="D36" s="664"/>
      <c r="E36" s="664"/>
      <c r="F36" s="664"/>
      <c r="G36" s="664"/>
      <c r="H36" s="663">
        <f>IF(H34="","",ROUND((H34+H35)*0.032,2))</f>
        <v>0</v>
      </c>
      <c r="J36" s="373"/>
      <c r="K36" s="374"/>
      <c r="L36" s="375"/>
    </row>
    <row r="37" spans="1:21">
      <c r="A37" s="372" t="s">
        <v>366</v>
      </c>
      <c r="B37" s="1426" t="s">
        <v>367</v>
      </c>
      <c r="C37" s="1426"/>
      <c r="D37" s="1426"/>
      <c r="E37" s="1426"/>
      <c r="F37" s="1426"/>
      <c r="G37" s="1426"/>
      <c r="H37" s="383">
        <f>IF(H35="","",H34+H35+H36)</f>
        <v>0</v>
      </c>
    </row>
    <row r="38" spans="1:21">
      <c r="A38" s="372" t="s">
        <v>317</v>
      </c>
      <c r="B38" s="1426" t="s">
        <v>368</v>
      </c>
      <c r="C38" s="1426"/>
      <c r="D38" s="1426"/>
      <c r="E38" s="1426"/>
      <c r="F38" s="1426"/>
      <c r="G38" s="1426"/>
      <c r="H38" s="384">
        <f>IF($H$35="","",ROUND($H$29/100*0.1,0))</f>
        <v>0</v>
      </c>
    </row>
    <row r="39" spans="1:21" ht="13.5" thickBot="1">
      <c r="A39" s="372" t="s">
        <v>319</v>
      </c>
      <c r="B39" s="1434" t="s">
        <v>369</v>
      </c>
      <c r="C39" s="1434"/>
      <c r="D39" s="1434"/>
      <c r="E39" s="1434"/>
      <c r="F39" s="1434"/>
      <c r="G39" s="1434"/>
      <c r="H39" s="682" t="e">
        <f>ROUND(IF(H30&gt;9999999,$H$30*0.025,$H$30*0.017),-2)</f>
        <v>#REF!</v>
      </c>
    </row>
    <row r="40" spans="1:21" ht="13.5" thickBot="1">
      <c r="A40" s="385" t="s">
        <v>370</v>
      </c>
      <c r="B40" s="1439" t="s">
        <v>371</v>
      </c>
      <c r="C40" s="1439"/>
      <c r="D40" s="1439"/>
      <c r="E40" s="1439"/>
      <c r="F40" s="1439"/>
      <c r="G40" s="1439"/>
      <c r="H40" s="386" t="e">
        <f>IF(H35="","",H37+H38+H39)</f>
        <v>#REF!</v>
      </c>
    </row>
    <row r="41" spans="1:21">
      <c r="A41" s="1437"/>
      <c r="B41" s="1437"/>
      <c r="C41" s="1437"/>
      <c r="D41" s="1437"/>
      <c r="E41" s="1437"/>
      <c r="F41" s="387"/>
      <c r="G41" s="1437"/>
      <c r="H41" s="1437"/>
    </row>
    <row r="42" spans="1:21" s="391" customFormat="1" ht="11.25">
      <c r="A42" s="1438" t="s">
        <v>321</v>
      </c>
      <c r="B42" s="1438"/>
      <c r="C42" s="1438"/>
      <c r="D42" s="1438"/>
      <c r="E42" s="1438"/>
      <c r="F42" s="388"/>
      <c r="G42" s="1438" t="s">
        <v>322</v>
      </c>
      <c r="H42" s="1438"/>
      <c r="I42" s="389"/>
      <c r="J42" s="389"/>
      <c r="K42" s="389"/>
      <c r="L42" s="389"/>
      <c r="M42" s="390"/>
      <c r="N42" s="390"/>
      <c r="P42" s="390"/>
      <c r="Q42" s="390"/>
      <c r="R42" s="390"/>
      <c r="S42" s="390"/>
      <c r="T42" s="390"/>
      <c r="U42" s="390"/>
    </row>
    <row r="43" spans="1:21">
      <c r="A43" s="1437"/>
      <c r="B43" s="1437"/>
      <c r="C43" s="1437"/>
      <c r="D43" s="1437"/>
      <c r="E43" s="1437"/>
      <c r="F43" s="387"/>
      <c r="G43" s="1437"/>
      <c r="H43" s="1437"/>
    </row>
    <row r="44" spans="1:21" s="391" customFormat="1" ht="12" thickBot="1">
      <c r="A44" s="1435" t="s">
        <v>323</v>
      </c>
      <c r="B44" s="1435"/>
      <c r="C44" s="1435"/>
      <c r="D44" s="1435"/>
      <c r="E44" s="1435"/>
      <c r="F44" s="392"/>
      <c r="G44" s="1435" t="s">
        <v>324</v>
      </c>
      <c r="H44" s="1435"/>
      <c r="I44" s="389"/>
      <c r="J44" s="389"/>
      <c r="K44" s="389"/>
      <c r="L44" s="389"/>
      <c r="M44" s="390"/>
      <c r="N44" s="390"/>
      <c r="P44" s="390"/>
      <c r="Q44" s="390"/>
      <c r="R44" s="390"/>
      <c r="S44" s="390"/>
      <c r="T44" s="390"/>
      <c r="U44" s="390"/>
    </row>
    <row r="45" spans="1:21">
      <c r="A45" s="1436" t="s">
        <v>372</v>
      </c>
      <c r="B45" s="1436"/>
      <c r="C45" s="1436"/>
      <c r="D45" s="1436"/>
      <c r="E45" s="1436"/>
      <c r="F45" s="1436"/>
      <c r="G45" s="1436"/>
      <c r="H45" s="1436"/>
    </row>
    <row r="46" spans="1:21" ht="14.25">
      <c r="A46" s="393" t="s">
        <v>373</v>
      </c>
      <c r="B46" s="393"/>
      <c r="C46" s="393"/>
      <c r="D46" s="394"/>
      <c r="F46" s="395" t="s">
        <v>374</v>
      </c>
      <c r="G46" s="393"/>
      <c r="H46" s="394"/>
    </row>
    <row r="47" spans="1:21">
      <c r="A47" s="125" t="s">
        <v>375</v>
      </c>
      <c r="B47" s="125"/>
      <c r="C47" s="125"/>
      <c r="D47" s="394"/>
      <c r="F47" s="126" t="s">
        <v>376</v>
      </c>
      <c r="G47" s="127"/>
      <c r="H47" s="394"/>
    </row>
    <row r="48" spans="1:21">
      <c r="A48" s="396" t="s">
        <v>377</v>
      </c>
      <c r="B48" s="396"/>
      <c r="C48" s="396"/>
      <c r="D48" s="394"/>
      <c r="F48" s="397" t="s">
        <v>378</v>
      </c>
      <c r="G48" s="396"/>
      <c r="H48" s="394"/>
    </row>
    <row r="49" spans="1:8">
      <c r="A49" s="398"/>
      <c r="B49" s="398"/>
      <c r="C49" s="398"/>
      <c r="D49" s="399"/>
      <c r="E49" s="399"/>
      <c r="F49" s="398"/>
      <c r="G49" s="398"/>
      <c r="H49" s="399"/>
    </row>
  </sheetData>
  <mergeCells count="66">
    <mergeCell ref="A1:H1"/>
    <mergeCell ref="B39:G39"/>
    <mergeCell ref="A44:E44"/>
    <mergeCell ref="G44:H44"/>
    <mergeCell ref="A45:H45"/>
    <mergeCell ref="A41:E41"/>
    <mergeCell ref="G41:H41"/>
    <mergeCell ref="A42:E42"/>
    <mergeCell ref="G42:H42"/>
    <mergeCell ref="A43:E43"/>
    <mergeCell ref="G43:H43"/>
    <mergeCell ref="B40:G40"/>
    <mergeCell ref="B27:F27"/>
    <mergeCell ref="G27:H27"/>
    <mergeCell ref="B28:G28"/>
    <mergeCell ref="B30:G30"/>
    <mergeCell ref="A25:H25"/>
    <mergeCell ref="B21:F21"/>
    <mergeCell ref="C22:F22"/>
    <mergeCell ref="G22:H22"/>
    <mergeCell ref="B23:F23"/>
    <mergeCell ref="B24:F24"/>
    <mergeCell ref="B37:G37"/>
    <mergeCell ref="B38:G38"/>
    <mergeCell ref="B26:F26"/>
    <mergeCell ref="G26:H26"/>
    <mergeCell ref="B29:G29"/>
    <mergeCell ref="B31:G31"/>
    <mergeCell ref="B32:G32"/>
    <mergeCell ref="B33:G33"/>
    <mergeCell ref="B34:G34"/>
    <mergeCell ref="B35:G35"/>
    <mergeCell ref="A10:H10"/>
    <mergeCell ref="A11:H11"/>
    <mergeCell ref="B12:C12"/>
    <mergeCell ref="B13:C13"/>
    <mergeCell ref="B14:C14"/>
    <mergeCell ref="G14:H14"/>
    <mergeCell ref="A16:H16"/>
    <mergeCell ref="A17:F17"/>
    <mergeCell ref="B18:F18"/>
    <mergeCell ref="B19:F19"/>
    <mergeCell ref="B20:F20"/>
    <mergeCell ref="A8:B8"/>
    <mergeCell ref="C8:D8"/>
    <mergeCell ref="E8:F8"/>
    <mergeCell ref="G8:H8"/>
    <mergeCell ref="A9:B9"/>
    <mergeCell ref="C9:D9"/>
    <mergeCell ref="E9:F9"/>
    <mergeCell ref="G9:H9"/>
    <mergeCell ref="A6:B6"/>
    <mergeCell ref="C6:D6"/>
    <mergeCell ref="E6:F6"/>
    <mergeCell ref="G6:H6"/>
    <mergeCell ref="A7:B7"/>
    <mergeCell ref="C7:D7"/>
    <mergeCell ref="E7:F7"/>
    <mergeCell ref="G7:H7"/>
    <mergeCell ref="A2:H2"/>
    <mergeCell ref="A3:H3"/>
    <mergeCell ref="A4:H4"/>
    <mergeCell ref="A5:B5"/>
    <mergeCell ref="C5:D5"/>
    <mergeCell ref="E5:F5"/>
    <mergeCell ref="G5:H5"/>
  </mergeCells>
  <pageMargins left="0.7" right="0.7" top="0.75" bottom="0.75" header="0.3" footer="0.3"/>
  <pageSetup scale="90" orientation="portrait" r:id="rId1"/>
  <colBreaks count="1" manualBreakCount="1">
    <brk id="8" max="1048575" man="1"/>
  </colBreaks>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
    <tabColor rgb="FFFFFF00"/>
  </sheetPr>
  <dimension ref="A1:S193"/>
  <sheetViews>
    <sheetView workbookViewId="0"/>
  </sheetViews>
  <sheetFormatPr defaultRowHeight="12"/>
  <cols>
    <col min="1" max="1" width="7.33203125" style="552" customWidth="1"/>
    <col min="2" max="2" width="6.83203125" style="552" customWidth="1"/>
    <col min="3" max="3" width="4.33203125" style="552" customWidth="1"/>
    <col min="4" max="4" width="15.33203125" style="552" customWidth="1"/>
    <col min="5" max="5" width="9.33203125" style="552"/>
    <col min="6" max="6" width="15.83203125" style="552" customWidth="1"/>
    <col min="7" max="7" width="17.6640625" style="552" customWidth="1"/>
    <col min="8" max="8" width="9.83203125" style="552" customWidth="1"/>
    <col min="9" max="9" width="12.83203125" style="552" customWidth="1"/>
    <col min="10" max="10" width="13.33203125" style="552" customWidth="1"/>
    <col min="11" max="11" width="7.1640625" style="552" customWidth="1"/>
    <col min="12" max="12" width="12" style="552" customWidth="1"/>
    <col min="13" max="13" width="6.83203125" style="552" customWidth="1"/>
    <col min="14" max="14" width="7.1640625" style="561" customWidth="1"/>
    <col min="15" max="15" width="6.6640625" style="552" customWidth="1"/>
    <col min="16" max="16" width="7.33203125" style="552" customWidth="1"/>
    <col min="17" max="16384" width="9.33203125" style="552"/>
  </cols>
  <sheetData>
    <row r="1" spans="1:19">
      <c r="A1" s="591"/>
      <c r="B1" s="1322" t="s">
        <v>379</v>
      </c>
      <c r="C1" s="1322"/>
      <c r="D1" s="1322"/>
      <c r="E1" s="1322"/>
      <c r="F1" s="1322"/>
      <c r="G1" s="1322"/>
      <c r="H1" s="1322"/>
      <c r="I1" s="1322"/>
      <c r="J1" s="1322"/>
      <c r="K1" s="1322"/>
      <c r="L1" s="1322"/>
      <c r="M1" s="1322"/>
      <c r="N1" s="592"/>
      <c r="O1" s="15"/>
      <c r="P1" s="565"/>
      <c r="S1" s="95"/>
    </row>
    <row r="2" spans="1:19" ht="18" customHeight="1">
      <c r="A2" s="12"/>
      <c r="B2" s="1440" t="s">
        <v>380</v>
      </c>
      <c r="C2" s="1440"/>
      <c r="D2" s="1440"/>
      <c r="E2" s="1440"/>
      <c r="F2" s="1440"/>
      <c r="G2" s="1440"/>
      <c r="H2" s="1440"/>
      <c r="I2" s="1440"/>
      <c r="J2" s="1440"/>
      <c r="K2" s="1440"/>
      <c r="L2" s="1440"/>
      <c r="M2" s="1440"/>
      <c r="N2" s="558"/>
      <c r="O2" s="28"/>
      <c r="S2" s="13"/>
    </row>
    <row r="3" spans="1:19" ht="13.5" customHeight="1">
      <c r="A3" s="12"/>
      <c r="B3" s="1322" t="s">
        <v>381</v>
      </c>
      <c r="C3" s="1322"/>
      <c r="D3" s="1322"/>
      <c r="E3" s="1322"/>
      <c r="F3" s="1322"/>
      <c r="G3" s="1322"/>
      <c r="H3" s="1322"/>
      <c r="I3" s="1322"/>
      <c r="J3" s="1322"/>
      <c r="K3" s="1322"/>
      <c r="L3" s="1322"/>
      <c r="M3" s="1322"/>
      <c r="N3" s="558"/>
      <c r="O3" s="28"/>
      <c r="S3" s="13"/>
    </row>
    <row r="4" spans="1:19">
      <c r="A4" s="12"/>
      <c r="B4" s="7"/>
      <c r="C4" s="7"/>
      <c r="D4" s="7"/>
      <c r="E4" s="7"/>
      <c r="F4" s="7"/>
      <c r="G4" s="7"/>
      <c r="H4" s="1272"/>
      <c r="I4" s="7"/>
      <c r="J4" s="7"/>
      <c r="K4" s="7"/>
      <c r="L4" s="7"/>
      <c r="M4" s="7"/>
      <c r="N4" s="559"/>
      <c r="O4" s="7"/>
      <c r="S4" s="13"/>
    </row>
    <row r="5" spans="1:19">
      <c r="A5" s="565"/>
      <c r="B5" s="31" t="s">
        <v>382</v>
      </c>
      <c r="D5" s="1442" t="str">
        <f>+'2-7'!D5</f>
        <v>SELECT CAMPUS</v>
      </c>
      <c r="E5" s="1442"/>
      <c r="F5" s="1442"/>
      <c r="G5" s="1442"/>
      <c r="H5" s="1442"/>
      <c r="J5" s="553" t="s">
        <v>383</v>
      </c>
      <c r="L5" s="589" t="str">
        <f>+'2-7'!X5</f>
        <v>2023/24</v>
      </c>
      <c r="N5" s="560"/>
    </row>
    <row r="6" spans="1:19">
      <c r="A6" s="565"/>
      <c r="B6" s="31" t="s">
        <v>384</v>
      </c>
      <c r="D6" s="1443" t="str">
        <f>+'2-7'!D6</f>
        <v>[ PROJECT NAME ]</v>
      </c>
      <c r="E6" s="1443"/>
      <c r="F6" s="1443"/>
      <c r="G6" s="1443"/>
      <c r="H6" s="1443"/>
      <c r="J6" s="553" t="s">
        <v>385</v>
      </c>
      <c r="L6" s="590" t="e">
        <f>+'2-7'!X11+'2-7'!#REF!</f>
        <v>#REF!</v>
      </c>
    </row>
    <row r="7" spans="1:19">
      <c r="A7" s="565"/>
      <c r="B7" s="12"/>
      <c r="H7" s="13"/>
      <c r="J7" s="553"/>
      <c r="L7" s="590"/>
      <c r="O7" s="594"/>
    </row>
    <row r="8" spans="1:19" ht="12.75" customHeight="1">
      <c r="A8" s="565"/>
      <c r="B8" s="31" t="s">
        <v>386</v>
      </c>
      <c r="D8" s="1444" t="s">
        <v>387</v>
      </c>
      <c r="E8" s="1444"/>
      <c r="F8" s="1444"/>
      <c r="G8" s="1444"/>
      <c r="H8" s="1444"/>
      <c r="I8" s="624" t="s">
        <v>388</v>
      </c>
      <c r="J8" s="1441" t="s">
        <v>389</v>
      </c>
      <c r="K8" s="1441"/>
      <c r="L8" s="1441"/>
      <c r="M8" s="1441"/>
      <c r="N8" s="562"/>
      <c r="O8" s="1272"/>
    </row>
    <row r="9" spans="1:19">
      <c r="A9" s="565"/>
      <c r="B9" s="31"/>
      <c r="E9" s="9"/>
      <c r="F9" s="9"/>
      <c r="G9" s="562"/>
      <c r="H9" s="1272"/>
      <c r="N9" s="552"/>
    </row>
    <row r="10" spans="1:19">
      <c r="A10" s="12"/>
      <c r="B10" s="587" t="s">
        <v>390</v>
      </c>
      <c r="F10" s="597"/>
      <c r="G10" s="594"/>
      <c r="H10" s="57"/>
      <c r="J10" s="12"/>
      <c r="K10" s="12"/>
      <c r="N10" s="563"/>
      <c r="O10" s="554"/>
    </row>
    <row r="11" spans="1:19" ht="48" customHeight="1">
      <c r="A11" s="12"/>
      <c r="B11" s="1447" t="s">
        <v>391</v>
      </c>
      <c r="C11" s="1447"/>
      <c r="D11" s="1447"/>
      <c r="E11" s="1447"/>
      <c r="F11" s="1447"/>
      <c r="G11" s="1447"/>
      <c r="H11" s="1447"/>
      <c r="I11" s="1447"/>
      <c r="J11" s="1447"/>
      <c r="K11" s="1447"/>
      <c r="L11" s="1447"/>
      <c r="M11" s="1447"/>
      <c r="N11" s="1447"/>
      <c r="O11" s="1283"/>
      <c r="P11" s="1283"/>
      <c r="Q11" s="1283"/>
      <c r="S11" s="13"/>
    </row>
    <row r="12" spans="1:19" ht="12" customHeight="1">
      <c r="A12" s="12"/>
      <c r="B12" s="1283"/>
      <c r="C12" s="1283"/>
      <c r="D12" s="1283"/>
      <c r="E12" s="1283"/>
      <c r="F12" s="1283"/>
      <c r="G12" s="1283"/>
      <c r="H12" s="1283"/>
      <c r="I12" s="1283"/>
      <c r="J12" s="1283"/>
      <c r="K12" s="1283"/>
      <c r="L12" s="1283"/>
      <c r="M12" s="1283"/>
      <c r="N12" s="564"/>
      <c r="O12" s="1283"/>
      <c r="P12" s="1283"/>
      <c r="R12" s="13"/>
    </row>
    <row r="13" spans="1:19">
      <c r="B13" s="7"/>
      <c r="C13" s="7"/>
      <c r="D13" s="7"/>
      <c r="E13" s="7"/>
      <c r="F13" s="7"/>
      <c r="G13" s="7"/>
      <c r="H13" s="1272"/>
      <c r="R13" s="13"/>
    </row>
    <row r="14" spans="1:19" ht="12.75" thickBot="1">
      <c r="B14" s="23" t="s">
        <v>392</v>
      </c>
      <c r="C14" s="579"/>
      <c r="D14" s="579"/>
      <c r="E14" s="579"/>
      <c r="F14" s="579"/>
      <c r="G14" s="579"/>
      <c r="H14" s="580"/>
      <c r="I14" s="581"/>
      <c r="J14" s="582" t="s">
        <v>393</v>
      </c>
      <c r="K14" s="581"/>
      <c r="L14" s="583" t="s">
        <v>394</v>
      </c>
      <c r="M14" s="581"/>
      <c r="R14" s="13"/>
    </row>
    <row r="15" spans="1:19">
      <c r="A15" s="12"/>
      <c r="B15" s="568"/>
      <c r="C15" s="569"/>
      <c r="D15" s="569"/>
      <c r="E15" s="569"/>
      <c r="F15" s="569"/>
      <c r="G15" s="569"/>
      <c r="H15" s="1286"/>
      <c r="I15" s="570"/>
      <c r="J15" s="570"/>
      <c r="K15" s="570"/>
      <c r="L15" s="602"/>
      <c r="M15" s="571"/>
      <c r="R15" s="13"/>
    </row>
    <row r="16" spans="1:19">
      <c r="B16" s="572">
        <v>1</v>
      </c>
      <c r="C16" s="565" t="s">
        <v>395</v>
      </c>
      <c r="D16" s="565"/>
      <c r="E16" s="565"/>
      <c r="F16" s="565"/>
      <c r="G16" s="565"/>
      <c r="H16" s="565"/>
      <c r="I16" s="565"/>
      <c r="J16" s="556" t="s">
        <v>396</v>
      </c>
      <c r="K16" s="584" t="s">
        <v>397</v>
      </c>
      <c r="L16" s="603"/>
      <c r="M16" s="573"/>
      <c r="N16" s="552"/>
    </row>
    <row r="17" spans="2:14" ht="12.75" customHeight="1">
      <c r="B17" s="572">
        <f>+B16+1</f>
        <v>2</v>
      </c>
      <c r="C17" s="565" t="s">
        <v>398</v>
      </c>
      <c r="D17" s="565"/>
      <c r="E17" s="565"/>
      <c r="F17" s="565"/>
      <c r="G17" s="1441" t="s">
        <v>399</v>
      </c>
      <c r="H17" s="1441"/>
      <c r="I17" s="1441"/>
      <c r="J17" s="1441"/>
      <c r="K17" s="584"/>
      <c r="L17" s="603"/>
      <c r="M17" s="573"/>
      <c r="N17" s="552"/>
    </row>
    <row r="18" spans="2:14" ht="12" customHeight="1">
      <c r="B18" s="574">
        <f>+B17+1</f>
        <v>3</v>
      </c>
      <c r="C18" s="89" t="s">
        <v>400</v>
      </c>
      <c r="D18" s="567"/>
      <c r="E18" s="567"/>
      <c r="F18" s="567"/>
      <c r="G18" s="565"/>
      <c r="H18" s="565"/>
      <c r="I18" s="565"/>
      <c r="J18" s="1282" t="s">
        <v>401</v>
      </c>
      <c r="K18" s="585"/>
      <c r="M18" s="573"/>
      <c r="N18" s="552"/>
    </row>
    <row r="19" spans="2:14" ht="12" customHeight="1">
      <c r="B19" s="574"/>
      <c r="D19" s="566" t="s">
        <v>402</v>
      </c>
      <c r="E19" s="567"/>
      <c r="F19" s="567"/>
      <c r="G19" s="565"/>
      <c r="H19" s="565"/>
      <c r="K19" s="586"/>
      <c r="L19" s="623">
        <f>IF(J18="No",SUM(J21:J26),0)</f>
        <v>0</v>
      </c>
      <c r="M19" s="573"/>
      <c r="N19" s="552"/>
    </row>
    <row r="20" spans="2:14" ht="12" customHeight="1">
      <c r="B20" s="574"/>
      <c r="D20" s="566"/>
      <c r="E20" s="567"/>
      <c r="F20" s="567"/>
      <c r="G20" s="565"/>
      <c r="H20" s="565"/>
      <c r="K20" s="586"/>
      <c r="L20" s="75"/>
      <c r="M20" s="573"/>
      <c r="N20" s="552"/>
    </row>
    <row r="21" spans="2:14" ht="12" customHeight="1">
      <c r="B21" s="574">
        <f>+B18+1</f>
        <v>4</v>
      </c>
      <c r="C21" s="615" t="s">
        <v>403</v>
      </c>
      <c r="D21" s="567"/>
      <c r="E21" s="567"/>
      <c r="F21" s="567"/>
      <c r="G21" s="565"/>
      <c r="H21" s="556">
        <v>0</v>
      </c>
      <c r="I21" s="584" t="s">
        <v>404</v>
      </c>
      <c r="J21" s="604">
        <f>H21*150</f>
        <v>0</v>
      </c>
      <c r="M21" s="573"/>
      <c r="N21" s="552"/>
    </row>
    <row r="22" spans="2:14">
      <c r="B22" s="574">
        <f>+B21+1</f>
        <v>5</v>
      </c>
      <c r="C22" s="565" t="s">
        <v>405</v>
      </c>
      <c r="D22" s="565"/>
      <c r="E22" s="565"/>
      <c r="G22" s="620" t="e">
        <f>IF($L$6&gt;0,(VLOOKUP(L6,Util_Elec_Equip,2)),"Estimated Capacity")</f>
        <v>#REF!</v>
      </c>
      <c r="I22" s="584"/>
      <c r="J22" s="604" t="e">
        <f>IF($L$6&gt;0,(VLOOKUP($L$6,Util_Elec_Equip,3)),0)</f>
        <v>#REF!</v>
      </c>
      <c r="M22" s="573"/>
      <c r="N22" s="552"/>
    </row>
    <row r="23" spans="2:14">
      <c r="B23" s="574">
        <f>+B22+1</f>
        <v>6</v>
      </c>
      <c r="C23" s="565" t="s">
        <v>406</v>
      </c>
      <c r="D23" s="565"/>
      <c r="E23" s="565"/>
      <c r="F23" s="158"/>
      <c r="G23" s="620" t="e">
        <f>IF($L$6&gt;0,(VLOOKUP(L6,Util_Elec_Equip,4)),"Estimated Capacity")</f>
        <v>#REF!</v>
      </c>
      <c r="H23" s="565"/>
      <c r="I23" s="584"/>
      <c r="J23" s="604" t="e">
        <f>IF($L$6&gt;0,(VLOOKUP($L$6,Util_Elec_Equip,5)),0)</f>
        <v>#REF!</v>
      </c>
      <c r="M23" s="573"/>
      <c r="N23" s="552"/>
    </row>
    <row r="24" spans="2:14">
      <c r="B24" s="574">
        <f>+B23+1</f>
        <v>7</v>
      </c>
      <c r="C24" s="565" t="s">
        <v>407</v>
      </c>
      <c r="D24" s="565"/>
      <c r="E24" s="565"/>
      <c r="F24" s="158"/>
      <c r="G24" s="620" t="e">
        <f>IF($L$6&gt;0,(VLOOKUP(L7,Util_Elec_Equip,6)),"Estimated Capacity")</f>
        <v>#REF!</v>
      </c>
      <c r="H24" s="565"/>
      <c r="I24" s="584"/>
      <c r="J24" s="604" t="e">
        <f>IF($L$6&gt;0,(VLOOKUP($L$7,Util_Elec_Equip,7)),0)</f>
        <v>#REF!</v>
      </c>
      <c r="M24" s="573"/>
      <c r="N24" s="552"/>
    </row>
    <row r="25" spans="2:14" ht="12.75" customHeight="1">
      <c r="B25" s="574">
        <f>+B24+1</f>
        <v>8</v>
      </c>
      <c r="C25" s="12" t="s">
        <v>408</v>
      </c>
      <c r="D25" s="565"/>
      <c r="E25" s="565"/>
      <c r="F25" s="158"/>
      <c r="G25" s="565"/>
      <c r="H25" s="565"/>
      <c r="I25" s="584"/>
      <c r="J25" s="604" t="e">
        <f>IF($L$6&gt;0,(VLOOKUP($L$6,Util_Elec_Equip,8)),0)</f>
        <v>#REF!</v>
      </c>
      <c r="M25" s="573"/>
      <c r="N25" s="552"/>
    </row>
    <row r="26" spans="2:14">
      <c r="B26" s="574">
        <f>+B25+1</f>
        <v>9</v>
      </c>
      <c r="C26" s="12" t="s">
        <v>409</v>
      </c>
      <c r="D26" s="565"/>
      <c r="E26" s="565"/>
      <c r="F26" s="565"/>
      <c r="G26" s="565"/>
      <c r="H26" s="556">
        <v>0</v>
      </c>
      <c r="I26" s="584" t="s">
        <v>404</v>
      </c>
      <c r="J26" s="604">
        <f>+H26*150</f>
        <v>0</v>
      </c>
      <c r="M26" s="573"/>
      <c r="N26" s="552"/>
    </row>
    <row r="27" spans="2:14">
      <c r="B27" s="575"/>
      <c r="C27" s="565"/>
      <c r="D27" s="565"/>
      <c r="E27" s="565"/>
      <c r="F27" s="565"/>
      <c r="G27" s="565"/>
      <c r="H27" s="565"/>
      <c r="I27" s="565"/>
      <c r="J27" s="565"/>
      <c r="K27" s="565"/>
      <c r="L27" s="595"/>
      <c r="M27" s="573"/>
    </row>
    <row r="28" spans="2:14" ht="12.75" thickBot="1">
      <c r="B28" s="576"/>
      <c r="C28" s="577"/>
      <c r="D28" s="577"/>
      <c r="E28" s="577"/>
      <c r="F28" s="577"/>
      <c r="G28" s="577"/>
      <c r="H28" s="577"/>
      <c r="I28" s="577"/>
      <c r="J28" s="588" t="s">
        <v>410</v>
      </c>
      <c r="K28" s="577"/>
      <c r="L28" s="605">
        <f>IF(G17="Campus-Owned Distribution",SUM(J21:J26),L19)</f>
        <v>0</v>
      </c>
      <c r="M28" s="578"/>
    </row>
    <row r="29" spans="2:14">
      <c r="L29" s="606"/>
    </row>
    <row r="30" spans="2:14" ht="12.75" thickBot="1">
      <c r="B30" s="23" t="s">
        <v>411</v>
      </c>
      <c r="C30" s="579"/>
      <c r="D30" s="579"/>
      <c r="E30" s="579"/>
      <c r="F30" s="579"/>
      <c r="G30" s="579"/>
      <c r="H30" s="580"/>
      <c r="I30" s="581"/>
      <c r="J30" s="582" t="s">
        <v>393</v>
      </c>
      <c r="K30" s="581"/>
      <c r="L30" s="607" t="s">
        <v>394</v>
      </c>
      <c r="M30" s="581"/>
    </row>
    <row r="31" spans="2:14">
      <c r="B31" s="568"/>
      <c r="C31" s="569"/>
      <c r="D31" s="569"/>
      <c r="E31" s="569"/>
      <c r="F31" s="569"/>
      <c r="G31" s="569"/>
      <c r="H31" s="1286"/>
      <c r="I31" s="570"/>
      <c r="J31" s="570"/>
      <c r="K31" s="570"/>
      <c r="L31" s="602"/>
      <c r="M31" s="571"/>
    </row>
    <row r="32" spans="2:14">
      <c r="B32" s="572">
        <v>1</v>
      </c>
      <c r="C32" s="565" t="s">
        <v>412</v>
      </c>
      <c r="D32" s="565"/>
      <c r="E32" s="565"/>
      <c r="F32" s="565"/>
      <c r="G32" s="565"/>
      <c r="H32" s="565"/>
      <c r="I32" s="565"/>
      <c r="J32" s="556">
        <v>0</v>
      </c>
      <c r="K32" s="584" t="s">
        <v>404</v>
      </c>
      <c r="L32" s="604">
        <f>+J32*65</f>
        <v>0</v>
      </c>
      <c r="M32" s="573"/>
      <c r="N32" s="552"/>
    </row>
    <row r="33" spans="2:13">
      <c r="B33" s="575"/>
      <c r="C33" s="565"/>
      <c r="D33" s="565"/>
      <c r="E33" s="565"/>
      <c r="F33" s="565"/>
      <c r="G33" s="565"/>
      <c r="H33" s="565"/>
      <c r="I33" s="565"/>
      <c r="J33" s="565"/>
      <c r="K33" s="565"/>
      <c r="L33" s="595"/>
      <c r="M33" s="573"/>
    </row>
    <row r="34" spans="2:13" ht="12.75" thickBot="1">
      <c r="B34" s="576"/>
      <c r="C34" s="577"/>
      <c r="D34" s="577"/>
      <c r="E34" s="577"/>
      <c r="F34" s="577"/>
      <c r="G34" s="577"/>
      <c r="H34" s="577"/>
      <c r="I34" s="577"/>
      <c r="J34" s="588" t="s">
        <v>410</v>
      </c>
      <c r="K34" s="577"/>
      <c r="L34" s="605">
        <f>SUM(L31:L33)</f>
        <v>0</v>
      </c>
      <c r="M34" s="578"/>
    </row>
    <row r="35" spans="2:13">
      <c r="L35" s="606"/>
    </row>
    <row r="36" spans="2:13" ht="12.75" thickBot="1">
      <c r="B36" s="23" t="s">
        <v>413</v>
      </c>
      <c r="C36" s="579"/>
      <c r="D36" s="579"/>
      <c r="E36" s="579"/>
      <c r="F36" s="579"/>
      <c r="G36" s="579"/>
      <c r="H36" s="580"/>
      <c r="I36" s="581"/>
      <c r="J36" s="582" t="s">
        <v>393</v>
      </c>
      <c r="K36" s="581"/>
      <c r="L36" s="607" t="s">
        <v>394</v>
      </c>
      <c r="M36" s="581"/>
    </row>
    <row r="37" spans="2:13">
      <c r="B37" s="568"/>
      <c r="C37" s="569"/>
      <c r="D37" s="569"/>
      <c r="E37" s="569"/>
      <c r="F37" s="569"/>
      <c r="G37" s="569"/>
      <c r="H37" s="1286"/>
      <c r="I37" s="570"/>
      <c r="J37" s="570"/>
      <c r="K37" s="570"/>
      <c r="L37" s="602"/>
      <c r="M37" s="571"/>
    </row>
    <row r="38" spans="2:13">
      <c r="B38" s="572">
        <v>1</v>
      </c>
      <c r="C38" s="565" t="s">
        <v>398</v>
      </c>
      <c r="D38" s="565"/>
      <c r="E38" s="565"/>
      <c r="F38" s="565"/>
      <c r="G38" s="1441" t="s">
        <v>399</v>
      </c>
      <c r="H38" s="1441"/>
      <c r="I38" s="1441"/>
      <c r="J38" s="1441"/>
      <c r="K38" s="584"/>
      <c r="L38" s="603"/>
      <c r="M38" s="573"/>
    </row>
    <row r="39" spans="2:13">
      <c r="B39" s="574">
        <f>+B38+1</f>
        <v>2</v>
      </c>
      <c r="C39" s="566" t="s">
        <v>414</v>
      </c>
      <c r="D39" s="567"/>
      <c r="E39" s="567"/>
      <c r="F39" s="567"/>
      <c r="G39" s="565"/>
      <c r="H39" s="565"/>
      <c r="I39" s="565"/>
      <c r="J39" s="1282" t="s">
        <v>401</v>
      </c>
      <c r="K39" s="585"/>
      <c r="L39" s="608">
        <f>IF(J39="No",25000,0)</f>
        <v>0</v>
      </c>
      <c r="M39" s="573"/>
    </row>
    <row r="40" spans="2:13">
      <c r="B40" s="574"/>
      <c r="D40" s="566" t="s">
        <v>415</v>
      </c>
      <c r="E40" s="567"/>
      <c r="F40" s="567"/>
      <c r="G40" s="565"/>
      <c r="H40" s="565"/>
      <c r="K40" s="586"/>
      <c r="L40" s="75"/>
      <c r="M40" s="573"/>
    </row>
    <row r="41" spans="2:13">
      <c r="B41" s="574">
        <f>+B39+1</f>
        <v>3</v>
      </c>
      <c r="C41" s="565" t="s">
        <v>416</v>
      </c>
      <c r="D41" s="565"/>
      <c r="E41" s="565"/>
      <c r="F41" s="565"/>
      <c r="G41" s="565"/>
      <c r="H41" s="565"/>
      <c r="I41" s="565"/>
      <c r="J41" s="556" t="s">
        <v>396</v>
      </c>
      <c r="K41" s="584" t="s">
        <v>417</v>
      </c>
      <c r="L41" s="75"/>
      <c r="M41" s="573"/>
    </row>
    <row r="42" spans="2:13">
      <c r="B42" s="574">
        <f>+B41+1</f>
        <v>4</v>
      </c>
      <c r="C42" s="565" t="s">
        <v>418</v>
      </c>
      <c r="D42" s="565"/>
      <c r="E42" s="565"/>
      <c r="F42" s="565"/>
      <c r="G42" s="565"/>
      <c r="H42" s="556">
        <v>6</v>
      </c>
      <c r="I42" s="584" t="s">
        <v>417</v>
      </c>
      <c r="J42" s="556">
        <v>0</v>
      </c>
      <c r="K42" s="584" t="s">
        <v>404</v>
      </c>
      <c r="L42" s="604">
        <f>+J42*100</f>
        <v>0</v>
      </c>
      <c r="M42" s="573"/>
    </row>
    <row r="43" spans="2:13">
      <c r="B43" s="574">
        <f>+B42+1</f>
        <v>5</v>
      </c>
      <c r="C43" s="565" t="s">
        <v>419</v>
      </c>
      <c r="D43" s="565"/>
      <c r="E43" s="565"/>
      <c r="F43" s="565"/>
      <c r="J43" s="601">
        <f>+ROUND(J42/150,0)</f>
        <v>0</v>
      </c>
      <c r="K43" s="584" t="s">
        <v>420</v>
      </c>
      <c r="L43" s="604">
        <f>J43*5000</f>
        <v>0</v>
      </c>
      <c r="M43" s="573"/>
    </row>
    <row r="44" spans="2:13">
      <c r="B44" s="575"/>
      <c r="C44" s="565"/>
      <c r="D44" s="565"/>
      <c r="E44" s="565"/>
      <c r="F44" s="565"/>
      <c r="G44" s="565"/>
      <c r="H44" s="565"/>
      <c r="I44" s="565"/>
      <c r="J44" s="565"/>
      <c r="K44" s="565"/>
      <c r="L44" s="595"/>
      <c r="M44" s="573"/>
    </row>
    <row r="45" spans="2:13" ht="12.75" thickBot="1">
      <c r="B45" s="576"/>
      <c r="C45" s="577"/>
      <c r="D45" s="577"/>
      <c r="E45" s="577"/>
      <c r="F45" s="577"/>
      <c r="G45" s="577"/>
      <c r="H45" s="577"/>
      <c r="I45" s="577"/>
      <c r="J45" s="588" t="s">
        <v>410</v>
      </c>
      <c r="K45" s="577"/>
      <c r="L45" s="605">
        <f>SUM(L38:L44)</f>
        <v>0</v>
      </c>
      <c r="M45" s="578"/>
    </row>
    <row r="46" spans="2:13">
      <c r="L46" s="606"/>
    </row>
    <row r="47" spans="2:13" ht="12.75" thickBot="1">
      <c r="B47" s="23" t="s">
        <v>421</v>
      </c>
      <c r="C47" s="579"/>
      <c r="D47" s="579"/>
      <c r="E47" s="579"/>
      <c r="F47" s="579"/>
      <c r="G47" s="579"/>
      <c r="H47" s="580"/>
      <c r="I47" s="581"/>
      <c r="J47" s="582" t="s">
        <v>393</v>
      </c>
      <c r="K47" s="581"/>
      <c r="L47" s="607" t="s">
        <v>394</v>
      </c>
      <c r="M47" s="581"/>
    </row>
    <row r="48" spans="2:13">
      <c r="B48" s="568"/>
      <c r="C48" s="569"/>
      <c r="D48" s="569"/>
      <c r="E48" s="569"/>
      <c r="F48" s="569"/>
      <c r="G48" s="569"/>
      <c r="H48" s="1286"/>
      <c r="I48" s="570"/>
      <c r="J48" s="570"/>
      <c r="K48" s="570"/>
      <c r="L48" s="602"/>
      <c r="M48" s="571"/>
    </row>
    <row r="49" spans="2:13">
      <c r="B49" s="572">
        <v>1</v>
      </c>
      <c r="C49" s="565" t="s">
        <v>398</v>
      </c>
      <c r="D49" s="565"/>
      <c r="E49" s="565"/>
      <c r="F49" s="565"/>
      <c r="G49" s="1441" t="s">
        <v>399</v>
      </c>
      <c r="H49" s="1441"/>
      <c r="I49" s="1441"/>
      <c r="J49" s="1441"/>
      <c r="K49" s="584"/>
      <c r="L49" s="603"/>
      <c r="M49" s="573"/>
    </row>
    <row r="50" spans="2:13">
      <c r="B50" s="574">
        <f>+B49+1</f>
        <v>2</v>
      </c>
      <c r="C50" s="566" t="s">
        <v>414</v>
      </c>
      <c r="D50" s="567"/>
      <c r="E50" s="567"/>
      <c r="F50" s="567"/>
      <c r="G50" s="565"/>
      <c r="H50" s="565"/>
      <c r="I50" s="565"/>
      <c r="J50" s="1282" t="s">
        <v>401</v>
      </c>
      <c r="K50" s="585"/>
      <c r="L50" s="608">
        <f>IF(J50="No",25000,0)</f>
        <v>0</v>
      </c>
      <c r="M50" s="573"/>
    </row>
    <row r="51" spans="2:13">
      <c r="B51" s="574"/>
      <c r="D51" s="566" t="s">
        <v>415</v>
      </c>
      <c r="E51" s="567"/>
      <c r="F51" s="567"/>
      <c r="G51" s="565"/>
      <c r="H51" s="565"/>
      <c r="K51" s="586"/>
      <c r="L51" s="75"/>
      <c r="M51" s="573"/>
    </row>
    <row r="52" spans="2:13">
      <c r="B52" s="574">
        <f>+B50+1</f>
        <v>3</v>
      </c>
      <c r="C52" s="565" t="s">
        <v>422</v>
      </c>
      <c r="D52" s="565"/>
      <c r="E52" s="565"/>
      <c r="F52" s="565"/>
      <c r="G52" s="565"/>
      <c r="H52" s="565"/>
      <c r="I52" s="565"/>
      <c r="J52" s="556" t="s">
        <v>396</v>
      </c>
      <c r="K52" s="584" t="s">
        <v>417</v>
      </c>
      <c r="L52" s="75"/>
      <c r="M52" s="573"/>
    </row>
    <row r="53" spans="2:13">
      <c r="B53" s="574">
        <f>+B52+1</f>
        <v>4</v>
      </c>
      <c r="C53" s="565" t="s">
        <v>418</v>
      </c>
      <c r="D53" s="565"/>
      <c r="E53" s="565"/>
      <c r="F53" s="565"/>
      <c r="G53" s="565"/>
      <c r="H53" s="556">
        <v>8</v>
      </c>
      <c r="I53" s="584" t="s">
        <v>417</v>
      </c>
      <c r="J53" s="556">
        <v>0</v>
      </c>
      <c r="K53" s="584" t="s">
        <v>404</v>
      </c>
      <c r="L53" s="604">
        <f>+J53*100</f>
        <v>0</v>
      </c>
      <c r="M53" s="573"/>
    </row>
    <row r="54" spans="2:13">
      <c r="B54" s="574">
        <f>+B53+1</f>
        <v>5</v>
      </c>
      <c r="C54" s="565" t="s">
        <v>419</v>
      </c>
      <c r="D54" s="565"/>
      <c r="E54" s="565"/>
      <c r="F54" s="565"/>
      <c r="J54" s="601">
        <f>+ROUND(J53/150,0)</f>
        <v>0</v>
      </c>
      <c r="K54" s="584" t="s">
        <v>420</v>
      </c>
      <c r="L54" s="604">
        <f>J54*5000</f>
        <v>0</v>
      </c>
      <c r="M54" s="573"/>
    </row>
    <row r="55" spans="2:13">
      <c r="B55" s="574">
        <f>+B54+1</f>
        <v>6</v>
      </c>
      <c r="C55" s="306" t="s">
        <v>423</v>
      </c>
      <c r="D55" s="565"/>
      <c r="E55" s="565"/>
      <c r="F55" s="565"/>
      <c r="J55" s="468"/>
      <c r="K55" s="584"/>
      <c r="L55" s="608">
        <f>J55*5000</f>
        <v>0</v>
      </c>
      <c r="M55" s="573"/>
    </row>
    <row r="56" spans="2:13">
      <c r="B56" s="575"/>
      <c r="C56" s="565"/>
      <c r="D56" s="565"/>
      <c r="E56" s="565"/>
      <c r="F56" s="565"/>
      <c r="G56" s="565"/>
      <c r="H56" s="565"/>
      <c r="I56" s="565"/>
      <c r="J56" s="565"/>
      <c r="K56" s="565"/>
      <c r="L56" s="595"/>
      <c r="M56" s="573"/>
    </row>
    <row r="57" spans="2:13" ht="12.75" thickBot="1">
      <c r="B57" s="576"/>
      <c r="C57" s="577"/>
      <c r="D57" s="577"/>
      <c r="E57" s="577"/>
      <c r="F57" s="577"/>
      <c r="G57" s="577"/>
      <c r="H57" s="577"/>
      <c r="I57" s="577"/>
      <c r="J57" s="588" t="s">
        <v>410</v>
      </c>
      <c r="K57" s="577"/>
      <c r="L57" s="605">
        <f>SUM(L49:L56)</f>
        <v>0</v>
      </c>
      <c r="M57" s="578"/>
    </row>
    <row r="58" spans="2:13">
      <c r="L58" s="606"/>
    </row>
    <row r="59" spans="2:13" ht="12.75" thickBot="1">
      <c r="B59" s="23" t="s">
        <v>424</v>
      </c>
      <c r="C59" s="579"/>
      <c r="D59" s="579"/>
      <c r="E59" s="579"/>
      <c r="F59" s="579"/>
      <c r="G59" s="579"/>
      <c r="H59" s="580"/>
      <c r="I59" s="581"/>
      <c r="J59" s="582" t="s">
        <v>393</v>
      </c>
      <c r="K59" s="581"/>
      <c r="L59" s="607" t="s">
        <v>394</v>
      </c>
      <c r="M59" s="581"/>
    </row>
    <row r="60" spans="2:13">
      <c r="B60" s="568"/>
      <c r="C60" s="569"/>
      <c r="D60" s="569"/>
      <c r="E60" s="569"/>
      <c r="F60" s="569"/>
      <c r="G60" s="569"/>
      <c r="H60" s="1286"/>
      <c r="I60" s="570"/>
      <c r="J60" s="570"/>
      <c r="K60" s="570"/>
      <c r="L60" s="602"/>
      <c r="M60" s="571"/>
    </row>
    <row r="61" spans="2:13">
      <c r="B61" s="574">
        <v>1</v>
      </c>
      <c r="C61" s="566" t="s">
        <v>425</v>
      </c>
      <c r="D61" s="567"/>
      <c r="E61" s="567"/>
      <c r="F61" s="567"/>
      <c r="G61" s="565"/>
      <c r="H61" s="565"/>
      <c r="I61" s="565"/>
      <c r="J61" s="627" t="s">
        <v>401</v>
      </c>
      <c r="K61" s="585"/>
      <c r="L61" s="39"/>
      <c r="M61" s="573"/>
    </row>
    <row r="62" spans="2:13">
      <c r="B62" s="574"/>
      <c r="D62" s="566" t="s">
        <v>426</v>
      </c>
      <c r="E62" s="567"/>
      <c r="F62" s="567"/>
      <c r="G62" s="565"/>
      <c r="H62" s="565"/>
      <c r="I62" s="565"/>
      <c r="J62" s="565"/>
      <c r="K62" s="584"/>
      <c r="L62" s="39"/>
      <c r="M62" s="573"/>
    </row>
    <row r="63" spans="2:13">
      <c r="B63" s="574"/>
      <c r="D63" s="566" t="s">
        <v>427</v>
      </c>
      <c r="E63" s="567"/>
      <c r="F63" s="567"/>
      <c r="G63" s="565"/>
      <c r="H63" s="565"/>
      <c r="I63" s="565"/>
      <c r="J63" s="1282" t="s">
        <v>401</v>
      </c>
      <c r="K63" s="584"/>
      <c r="L63" s="39"/>
      <c r="M63" s="573"/>
    </row>
    <row r="64" spans="2:13">
      <c r="B64" s="574">
        <f>+B61+1</f>
        <v>2</v>
      </c>
      <c r="C64" s="566" t="s">
        <v>428</v>
      </c>
      <c r="D64" s="567"/>
      <c r="E64" s="567"/>
      <c r="F64" s="567"/>
      <c r="G64" s="565"/>
      <c r="H64" s="565"/>
      <c r="I64" s="565"/>
      <c r="J64" s="565"/>
      <c r="K64" s="584"/>
      <c r="L64" s="595"/>
      <c r="M64" s="573"/>
    </row>
    <row r="65" spans="1:14">
      <c r="B65" s="574"/>
      <c r="D65" s="566" t="s">
        <v>429</v>
      </c>
      <c r="E65" s="567"/>
      <c r="F65" s="567"/>
      <c r="K65" s="584"/>
      <c r="L65" s="608">
        <f>IF(J61="Yes",IF(J63="No",(IF($J$8="Administrative/Office Building",10*L6,(IF($J$8="Classroom Building",15*L6,(IF($J$8="Science Lab Building",20*L6,0)))))),0),0)</f>
        <v>0</v>
      </c>
      <c r="M65" s="573"/>
    </row>
    <row r="66" spans="1:14">
      <c r="B66" s="574"/>
      <c r="D66" s="306" t="s">
        <v>430</v>
      </c>
      <c r="E66" s="567"/>
      <c r="F66" s="567"/>
      <c r="K66" s="584"/>
      <c r="L66" s="606"/>
      <c r="M66" s="573"/>
    </row>
    <row r="67" spans="1:14">
      <c r="B67" s="574"/>
      <c r="D67" s="306" t="s">
        <v>431</v>
      </c>
      <c r="E67" s="567"/>
      <c r="F67" s="567"/>
      <c r="K67" s="584"/>
      <c r="L67" s="606"/>
      <c r="M67" s="573"/>
    </row>
    <row r="68" spans="1:14">
      <c r="B68" s="574"/>
      <c r="D68" s="306" t="s">
        <v>431</v>
      </c>
      <c r="E68" s="567"/>
      <c r="F68" s="567"/>
      <c r="K68" s="584"/>
      <c r="L68" s="606"/>
      <c r="M68" s="573"/>
    </row>
    <row r="69" spans="1:14">
      <c r="B69" s="574">
        <f>+B64+1</f>
        <v>3</v>
      </c>
      <c r="C69" s="566" t="s">
        <v>432</v>
      </c>
      <c r="D69" s="565"/>
      <c r="E69" s="565"/>
      <c r="F69" s="565"/>
      <c r="G69" s="565"/>
      <c r="H69" s="565"/>
      <c r="I69" s="565"/>
      <c r="J69" s="565"/>
      <c r="K69" s="565"/>
      <c r="L69" s="595"/>
      <c r="M69" s="573"/>
    </row>
    <row r="70" spans="1:14">
      <c r="B70" s="574"/>
      <c r="C70" s="565"/>
      <c r="D70" s="565"/>
      <c r="E70" s="565"/>
      <c r="F70" s="565"/>
      <c r="G70" s="565"/>
      <c r="H70" s="556" t="s">
        <v>396</v>
      </c>
      <c r="I70" s="584" t="s">
        <v>433</v>
      </c>
      <c r="L70" s="595"/>
      <c r="M70" s="573"/>
    </row>
    <row r="71" spans="1:14">
      <c r="B71" s="574"/>
      <c r="C71" s="565"/>
      <c r="D71" s="565"/>
      <c r="E71" s="565"/>
      <c r="F71" s="565"/>
      <c r="G71" s="565"/>
      <c r="H71" s="556" t="s">
        <v>396</v>
      </c>
      <c r="I71" s="584" t="s">
        <v>433</v>
      </c>
      <c r="L71" s="595"/>
      <c r="M71" s="573"/>
    </row>
    <row r="72" spans="1:14">
      <c r="B72" s="574">
        <f>+B69+1</f>
        <v>4</v>
      </c>
      <c r="C72" s="565" t="s">
        <v>412</v>
      </c>
      <c r="D72" s="565"/>
      <c r="E72" s="565"/>
      <c r="F72" s="565"/>
      <c r="G72" s="565"/>
      <c r="H72" s="565"/>
      <c r="I72" s="565"/>
      <c r="J72" s="556">
        <v>0</v>
      </c>
      <c r="K72" s="584" t="s">
        <v>404</v>
      </c>
      <c r="L72" s="604">
        <f>+J72*100</f>
        <v>0</v>
      </c>
      <c r="M72" s="573"/>
    </row>
    <row r="73" spans="1:14">
      <c r="A73" s="552" t="s">
        <v>434</v>
      </c>
      <c r="B73" s="574">
        <f>+B72+1</f>
        <v>5</v>
      </c>
      <c r="C73" s="565" t="s">
        <v>435</v>
      </c>
      <c r="D73" s="565"/>
      <c r="E73" s="565"/>
      <c r="F73" s="565"/>
      <c r="G73" s="565"/>
      <c r="H73" s="565"/>
      <c r="I73" s="565"/>
      <c r="J73" s="556">
        <v>1</v>
      </c>
      <c r="K73" s="584" t="s">
        <v>420</v>
      </c>
      <c r="L73" s="604">
        <f>+J73*5000</f>
        <v>5000</v>
      </c>
      <c r="M73" s="573"/>
    </row>
    <row r="74" spans="1:14">
      <c r="B74" s="575"/>
      <c r="C74" s="565"/>
      <c r="D74" s="565"/>
      <c r="E74" s="565"/>
      <c r="F74" s="565"/>
      <c r="G74" s="565"/>
      <c r="H74" s="565"/>
      <c r="I74" s="565"/>
      <c r="J74" s="565"/>
      <c r="K74" s="565"/>
      <c r="L74" s="595"/>
      <c r="M74" s="573"/>
    </row>
    <row r="75" spans="1:14" ht="12.75" thickBot="1">
      <c r="B75" s="576"/>
      <c r="C75" s="577"/>
      <c r="D75" s="577"/>
      <c r="E75" s="577"/>
      <c r="F75" s="577"/>
      <c r="G75" s="577"/>
      <c r="H75" s="577"/>
      <c r="I75" s="577"/>
      <c r="J75" s="588" t="s">
        <v>410</v>
      </c>
      <c r="K75" s="577"/>
      <c r="L75" s="605">
        <f>SUM(L61:L74)</f>
        <v>5000</v>
      </c>
      <c r="M75" s="578"/>
    </row>
    <row r="76" spans="1:14">
      <c r="L76" s="606"/>
      <c r="N76" s="552"/>
    </row>
    <row r="77" spans="1:14" ht="12.75" thickBot="1">
      <c r="B77" s="23" t="s">
        <v>436</v>
      </c>
      <c r="C77" s="579"/>
      <c r="D77" s="579"/>
      <c r="E77" s="579"/>
      <c r="F77" s="579"/>
      <c r="G77" s="579"/>
      <c r="H77" s="580"/>
      <c r="I77" s="581"/>
      <c r="J77" s="582" t="s">
        <v>393</v>
      </c>
      <c r="K77" s="581"/>
      <c r="L77" s="607" t="s">
        <v>394</v>
      </c>
      <c r="M77" s="581"/>
    </row>
    <row r="78" spans="1:14">
      <c r="B78" s="568"/>
      <c r="C78" s="569"/>
      <c r="D78" s="569"/>
      <c r="E78" s="569"/>
      <c r="F78" s="569"/>
      <c r="G78" s="569"/>
      <c r="H78" s="1286"/>
      <c r="I78" s="570"/>
      <c r="J78" s="570"/>
      <c r="K78" s="570"/>
      <c r="L78" s="602"/>
      <c r="M78" s="571"/>
    </row>
    <row r="79" spans="1:14">
      <c r="B79" s="574">
        <v>1</v>
      </c>
      <c r="C79" s="566" t="s">
        <v>425</v>
      </c>
      <c r="D79" s="567"/>
      <c r="E79" s="567"/>
      <c r="F79" s="567"/>
      <c r="G79" s="565"/>
      <c r="H79" s="565"/>
      <c r="I79" s="565"/>
      <c r="J79" s="1282" t="s">
        <v>401</v>
      </c>
      <c r="K79" s="585"/>
      <c r="L79" s="39"/>
      <c r="M79" s="573"/>
    </row>
    <row r="80" spans="1:14">
      <c r="B80" s="574"/>
      <c r="D80" s="566" t="s">
        <v>437</v>
      </c>
      <c r="E80" s="567"/>
      <c r="F80" s="567"/>
      <c r="G80" s="565"/>
      <c r="H80" s="565"/>
      <c r="I80" s="565"/>
      <c r="J80" s="565"/>
      <c r="K80" s="584"/>
      <c r="L80" s="39"/>
      <c r="M80" s="573"/>
    </row>
    <row r="81" spans="1:13">
      <c r="B81" s="574"/>
      <c r="D81" s="566" t="s">
        <v>427</v>
      </c>
      <c r="E81" s="567"/>
      <c r="F81" s="567"/>
      <c r="G81" s="565"/>
      <c r="H81" s="565"/>
      <c r="I81" s="565"/>
      <c r="J81" s="1282" t="s">
        <v>401</v>
      </c>
      <c r="K81" s="584"/>
      <c r="L81" s="39"/>
      <c r="M81" s="573"/>
    </row>
    <row r="82" spans="1:13">
      <c r="B82" s="574">
        <f>+B79+1</f>
        <v>2</v>
      </c>
      <c r="C82" s="566" t="s">
        <v>428</v>
      </c>
      <c r="D82" s="567"/>
      <c r="E82" s="567"/>
      <c r="F82" s="567"/>
      <c r="G82" s="565"/>
      <c r="H82" s="565"/>
      <c r="I82" s="565"/>
      <c r="J82" s="565"/>
      <c r="K82" s="584"/>
      <c r="L82" s="595"/>
      <c r="M82" s="573"/>
    </row>
    <row r="83" spans="1:13">
      <c r="B83" s="574"/>
      <c r="D83" s="566" t="s">
        <v>438</v>
      </c>
      <c r="E83" s="567"/>
      <c r="F83" s="567"/>
      <c r="G83" s="565"/>
      <c r="H83" s="565"/>
      <c r="I83" s="565"/>
      <c r="J83" s="565"/>
      <c r="K83" s="584"/>
      <c r="L83" s="608">
        <f>IF(J79="Yes",IF(J81="No",IF($J$8="Administrative/Office Building",10*J22,(IF($J$8="Classroom Building",12*J22,(IF($J$8="Science Lab Building",15*J22,0))))),0),0)</f>
        <v>0</v>
      </c>
      <c r="M83" s="573"/>
    </row>
    <row r="84" spans="1:13">
      <c r="B84" s="574"/>
      <c r="C84" s="306"/>
      <c r="D84" s="306" t="s">
        <v>430</v>
      </c>
      <c r="E84" s="567"/>
      <c r="F84" s="567"/>
      <c r="K84" s="584"/>
      <c r="M84" s="573"/>
    </row>
    <row r="85" spans="1:13">
      <c r="B85" s="574"/>
      <c r="C85" s="306"/>
      <c r="D85" s="306" t="s">
        <v>431</v>
      </c>
      <c r="E85" s="567"/>
      <c r="F85" s="567"/>
      <c r="K85" s="584"/>
      <c r="L85" s="606"/>
      <c r="M85" s="573"/>
    </row>
    <row r="86" spans="1:13">
      <c r="B86" s="574"/>
      <c r="C86" s="306"/>
      <c r="D86" s="306" t="s">
        <v>431</v>
      </c>
      <c r="E86" s="567"/>
      <c r="F86" s="567"/>
      <c r="K86" s="584"/>
      <c r="L86" s="606"/>
      <c r="M86" s="573"/>
    </row>
    <row r="87" spans="1:13">
      <c r="B87" s="574">
        <f>+B82+1</f>
        <v>3</v>
      </c>
      <c r="C87" s="552" t="s">
        <v>439</v>
      </c>
      <c r="D87" s="565"/>
      <c r="E87" s="565"/>
      <c r="F87" s="565"/>
      <c r="G87" s="565"/>
      <c r="H87" s="565"/>
      <c r="I87" s="565"/>
      <c r="J87" s="1282" t="s">
        <v>401</v>
      </c>
      <c r="K87" s="565"/>
      <c r="L87" s="595"/>
      <c r="M87" s="573"/>
    </row>
    <row r="88" spans="1:13">
      <c r="A88" s="552" t="s">
        <v>434</v>
      </c>
      <c r="B88" s="574"/>
      <c r="D88" s="565"/>
      <c r="E88" s="565"/>
      <c r="F88" s="565"/>
      <c r="G88" s="552" t="s">
        <v>440</v>
      </c>
      <c r="H88" s="565"/>
      <c r="I88" s="565"/>
      <c r="J88" s="556" t="s">
        <v>396</v>
      </c>
      <c r="K88" s="584" t="s">
        <v>433</v>
      </c>
      <c r="L88" s="595"/>
      <c r="M88" s="573"/>
    </row>
    <row r="89" spans="1:13">
      <c r="B89" s="574"/>
      <c r="D89" s="565"/>
      <c r="E89" s="565"/>
      <c r="F89" s="565"/>
      <c r="G89" s="552" t="s">
        <v>441</v>
      </c>
      <c r="H89" s="565"/>
      <c r="I89" s="565"/>
      <c r="J89" s="556" t="s">
        <v>396</v>
      </c>
      <c r="K89" s="584" t="s">
        <v>433</v>
      </c>
      <c r="L89" s="595"/>
      <c r="M89" s="573"/>
    </row>
    <row r="90" spans="1:13">
      <c r="B90" s="574">
        <f>+B87+1</f>
        <v>4</v>
      </c>
      <c r="C90" s="565" t="s">
        <v>412</v>
      </c>
      <c r="D90" s="565"/>
      <c r="E90" s="565"/>
      <c r="F90" s="565"/>
      <c r="G90" s="565"/>
      <c r="H90" s="565"/>
      <c r="I90" s="565"/>
      <c r="J90" s="556">
        <v>0</v>
      </c>
      <c r="K90" s="584" t="s">
        <v>404</v>
      </c>
      <c r="L90" s="609">
        <f>+J90*150</f>
        <v>0</v>
      </c>
      <c r="M90" s="573"/>
    </row>
    <row r="91" spans="1:13">
      <c r="B91" s="574">
        <f>+B90+1</f>
        <v>5</v>
      </c>
      <c r="C91" s="565" t="s">
        <v>435</v>
      </c>
      <c r="D91" s="565"/>
      <c r="E91" s="565"/>
      <c r="F91" s="565"/>
      <c r="G91" s="565"/>
      <c r="H91" s="565"/>
      <c r="I91" s="565"/>
      <c r="J91" s="556">
        <v>1</v>
      </c>
      <c r="K91" s="584" t="s">
        <v>420</v>
      </c>
      <c r="L91" s="604">
        <f>+J91*8000</f>
        <v>8000</v>
      </c>
      <c r="M91" s="573"/>
    </row>
    <row r="92" spans="1:13">
      <c r="B92" s="575"/>
      <c r="C92" s="565"/>
      <c r="D92" s="565"/>
      <c r="E92" s="565"/>
      <c r="F92" s="565"/>
      <c r="G92" s="565"/>
      <c r="H92" s="565"/>
      <c r="I92" s="565"/>
      <c r="J92" s="565"/>
      <c r="K92" s="565"/>
      <c r="L92" s="595"/>
      <c r="M92" s="573"/>
    </row>
    <row r="93" spans="1:13" ht="12.75" thickBot="1">
      <c r="B93" s="576"/>
      <c r="C93" s="577"/>
      <c r="D93" s="577"/>
      <c r="E93" s="577"/>
      <c r="F93" s="577"/>
      <c r="G93" s="577"/>
      <c r="H93" s="577"/>
      <c r="I93" s="577"/>
      <c r="J93" s="588" t="s">
        <v>410</v>
      </c>
      <c r="K93" s="577"/>
      <c r="L93" s="605">
        <f>SUM(L79:L92)</f>
        <v>8000</v>
      </c>
      <c r="M93" s="578"/>
    </row>
    <row r="94" spans="1:13">
      <c r="L94" s="606"/>
    </row>
    <row r="95" spans="1:13" ht="12.75" thickBot="1">
      <c r="B95" s="23" t="s">
        <v>442</v>
      </c>
      <c r="C95" s="579"/>
      <c r="D95" s="579"/>
      <c r="E95" s="579"/>
      <c r="F95" s="579"/>
      <c r="G95" s="579"/>
      <c r="H95" s="580"/>
      <c r="I95" s="581"/>
      <c r="J95" s="582" t="s">
        <v>393</v>
      </c>
      <c r="K95" s="581"/>
      <c r="L95" s="607" t="s">
        <v>394</v>
      </c>
      <c r="M95" s="581"/>
    </row>
    <row r="96" spans="1:13">
      <c r="B96" s="568"/>
      <c r="C96" s="569"/>
      <c r="D96" s="569"/>
      <c r="E96" s="569"/>
      <c r="F96" s="569"/>
      <c r="G96" s="569"/>
      <c r="H96" s="1286"/>
      <c r="I96" s="570"/>
      <c r="J96" s="570"/>
      <c r="K96" s="570"/>
      <c r="L96" s="602"/>
      <c r="M96" s="571"/>
    </row>
    <row r="97" spans="2:13">
      <c r="B97" s="572">
        <v>1</v>
      </c>
      <c r="C97" s="565" t="s">
        <v>398</v>
      </c>
      <c r="D97" s="565"/>
      <c r="E97" s="565"/>
      <c r="F97" s="565"/>
      <c r="G97" s="1441" t="s">
        <v>399</v>
      </c>
      <c r="H97" s="1441"/>
      <c r="I97" s="1441"/>
      <c r="J97" s="1441"/>
      <c r="K97" s="584"/>
      <c r="L97" s="603"/>
      <c r="M97" s="573"/>
    </row>
    <row r="98" spans="2:13">
      <c r="B98" s="574">
        <f>+B97+1</f>
        <v>2</v>
      </c>
      <c r="C98" s="566" t="s">
        <v>414</v>
      </c>
      <c r="D98" s="567"/>
      <c r="E98" s="567"/>
      <c r="F98" s="567"/>
      <c r="G98" s="565"/>
      <c r="H98" s="565"/>
      <c r="I98" s="565"/>
      <c r="J98" s="1282" t="s">
        <v>401</v>
      </c>
      <c r="K98" s="585"/>
      <c r="L98" s="608">
        <f>IF(J98="No",5000,0)</f>
        <v>0</v>
      </c>
      <c r="M98" s="573"/>
    </row>
    <row r="99" spans="2:13">
      <c r="B99" s="574"/>
      <c r="D99" s="566" t="s">
        <v>415</v>
      </c>
      <c r="E99" s="567"/>
      <c r="F99" s="567"/>
      <c r="G99" s="565"/>
      <c r="H99" s="565"/>
      <c r="K99" s="586"/>
      <c r="L99" s="75"/>
      <c r="M99" s="573"/>
    </row>
    <row r="100" spans="2:13">
      <c r="B100" s="574">
        <f>+B98+1</f>
        <v>3</v>
      </c>
      <c r="C100" s="565" t="s">
        <v>412</v>
      </c>
      <c r="D100" s="565"/>
      <c r="E100" s="565"/>
      <c r="F100" s="565"/>
      <c r="G100" s="565"/>
      <c r="H100" s="468"/>
      <c r="I100" s="584"/>
      <c r="J100" s="556">
        <v>0</v>
      </c>
      <c r="K100" s="584" t="s">
        <v>404</v>
      </c>
      <c r="L100" s="604">
        <f>+J100*35</f>
        <v>0</v>
      </c>
      <c r="M100" s="573"/>
    </row>
    <row r="101" spans="2:13">
      <c r="B101" s="574">
        <f>+B100+1</f>
        <v>4</v>
      </c>
      <c r="C101" s="565" t="s">
        <v>443</v>
      </c>
      <c r="D101" s="565"/>
      <c r="E101" s="565"/>
      <c r="F101" s="565"/>
      <c r="G101" s="565"/>
      <c r="H101" s="565"/>
      <c r="I101" s="565"/>
      <c r="J101" s="556">
        <v>1</v>
      </c>
      <c r="K101" s="584" t="s">
        <v>420</v>
      </c>
      <c r="L101" s="604">
        <f>+J101*5000</f>
        <v>5000</v>
      </c>
      <c r="M101" s="573"/>
    </row>
    <row r="102" spans="2:13">
      <c r="B102" s="575"/>
      <c r="C102" s="565"/>
      <c r="D102" s="565"/>
      <c r="E102" s="565"/>
      <c r="F102" s="565"/>
      <c r="G102" s="565"/>
      <c r="H102" s="565"/>
      <c r="I102" s="565"/>
      <c r="J102" s="565"/>
      <c r="K102" s="565"/>
      <c r="L102" s="595"/>
      <c r="M102" s="573"/>
    </row>
    <row r="103" spans="2:13" ht="12.75" thickBot="1">
      <c r="B103" s="576"/>
      <c r="C103" s="577"/>
      <c r="D103" s="577"/>
      <c r="E103" s="577"/>
      <c r="F103" s="577"/>
      <c r="G103" s="577"/>
      <c r="H103" s="577"/>
      <c r="I103" s="577"/>
      <c r="J103" s="588" t="s">
        <v>410</v>
      </c>
      <c r="K103" s="577"/>
      <c r="L103" s="605">
        <f>SUM(L97:L102)</f>
        <v>5000</v>
      </c>
      <c r="M103" s="578"/>
    </row>
    <row r="104" spans="2:13">
      <c r="L104" s="606"/>
    </row>
    <row r="105" spans="2:13" ht="12.75" thickBot="1">
      <c r="B105" s="23" t="s">
        <v>444</v>
      </c>
      <c r="C105" s="579"/>
      <c r="D105" s="579"/>
      <c r="E105" s="579"/>
      <c r="F105" s="579"/>
      <c r="G105" s="579"/>
      <c r="H105" s="580"/>
      <c r="I105" s="581"/>
      <c r="J105" s="582" t="s">
        <v>393</v>
      </c>
      <c r="K105" s="581"/>
      <c r="L105" s="607" t="s">
        <v>394</v>
      </c>
      <c r="M105" s="581"/>
    </row>
    <row r="106" spans="2:13">
      <c r="B106" s="568"/>
      <c r="C106" s="569"/>
      <c r="D106" s="569"/>
      <c r="E106" s="569"/>
      <c r="F106" s="569"/>
      <c r="G106" s="569"/>
      <c r="H106" s="1286"/>
      <c r="I106" s="570"/>
      <c r="J106" s="570"/>
      <c r="K106" s="570"/>
      <c r="L106" s="602"/>
      <c r="M106" s="571"/>
    </row>
    <row r="107" spans="2:13">
      <c r="B107" s="572">
        <v>1</v>
      </c>
      <c r="C107" s="565" t="s">
        <v>398</v>
      </c>
      <c r="D107" s="565"/>
      <c r="E107" s="565"/>
      <c r="F107" s="565"/>
      <c r="G107" s="1441" t="s">
        <v>399</v>
      </c>
      <c r="H107" s="1441"/>
      <c r="I107" s="1441"/>
      <c r="J107" s="1441"/>
      <c r="K107" s="584"/>
      <c r="L107" s="603"/>
      <c r="M107" s="573"/>
    </row>
    <row r="108" spans="2:13">
      <c r="B108" s="574">
        <f>+B107+1</f>
        <v>2</v>
      </c>
      <c r="C108" s="566" t="s">
        <v>414</v>
      </c>
      <c r="D108" s="567"/>
      <c r="E108" s="567"/>
      <c r="F108" s="567"/>
      <c r="G108" s="565"/>
      <c r="H108" s="565"/>
      <c r="I108" s="565"/>
      <c r="J108" s="1282" t="s">
        <v>445</v>
      </c>
      <c r="K108" s="585"/>
      <c r="L108" s="608">
        <f>IF(J108="No",25000,0)</f>
        <v>0</v>
      </c>
      <c r="M108" s="573"/>
    </row>
    <row r="109" spans="2:13">
      <c r="B109" s="574"/>
      <c r="D109" s="566" t="s">
        <v>415</v>
      </c>
      <c r="E109" s="567"/>
      <c r="F109" s="567"/>
      <c r="G109" s="565"/>
      <c r="H109" s="565"/>
      <c r="K109" s="586"/>
      <c r="L109" s="75"/>
      <c r="M109" s="573"/>
    </row>
    <row r="110" spans="2:13">
      <c r="B110" s="574">
        <f>+B108+1</f>
        <v>3</v>
      </c>
      <c r="C110" s="566" t="s">
        <v>446</v>
      </c>
      <c r="D110" s="567"/>
      <c r="E110" s="567"/>
      <c r="F110" s="567"/>
      <c r="G110" s="565"/>
      <c r="H110" s="565"/>
      <c r="I110" s="565"/>
      <c r="J110" s="1282" t="s">
        <v>401</v>
      </c>
      <c r="K110" s="585"/>
      <c r="L110" s="603"/>
      <c r="M110" s="573"/>
    </row>
    <row r="111" spans="2:13">
      <c r="B111" s="574"/>
      <c r="D111" s="566" t="s">
        <v>447</v>
      </c>
      <c r="E111" s="567"/>
      <c r="F111" s="567"/>
      <c r="G111" s="565"/>
      <c r="H111" s="565"/>
      <c r="J111" s="556">
        <v>0</v>
      </c>
      <c r="K111" s="584" t="s">
        <v>448</v>
      </c>
      <c r="L111" s="75"/>
      <c r="M111" s="573"/>
    </row>
    <row r="112" spans="2:13">
      <c r="B112" s="574">
        <f>+B110+1</f>
        <v>4</v>
      </c>
      <c r="C112" s="565" t="s">
        <v>449</v>
      </c>
      <c r="D112" s="565"/>
      <c r="E112" s="565"/>
      <c r="F112" s="565"/>
      <c r="G112" s="565"/>
      <c r="H112" s="468"/>
      <c r="I112" s="584"/>
      <c r="J112" s="556">
        <v>0</v>
      </c>
      <c r="K112" s="584" t="s">
        <v>404</v>
      </c>
      <c r="L112" s="604">
        <f>+J112*60</f>
        <v>0</v>
      </c>
      <c r="M112" s="573"/>
    </row>
    <row r="113" spans="2:14">
      <c r="B113" s="574">
        <f>+B112+1</f>
        <v>5</v>
      </c>
      <c r="C113" s="565" t="s">
        <v>450</v>
      </c>
      <c r="D113" s="565"/>
      <c r="E113" s="565"/>
      <c r="F113" s="565"/>
      <c r="G113" s="565"/>
      <c r="H113" s="556">
        <v>0</v>
      </c>
      <c r="I113" s="584" t="s">
        <v>451</v>
      </c>
      <c r="J113" s="593">
        <f>+H113*20+J111</f>
        <v>0</v>
      </c>
      <c r="K113" s="584" t="s">
        <v>448</v>
      </c>
      <c r="L113" s="75"/>
      <c r="M113" s="573"/>
    </row>
    <row r="114" spans="2:14">
      <c r="B114" s="575"/>
      <c r="D114" s="565" t="s">
        <v>452</v>
      </c>
      <c r="E114" s="565"/>
      <c r="F114" s="565"/>
      <c r="G114" s="565"/>
      <c r="H114" s="565"/>
      <c r="I114" s="565"/>
      <c r="J114" s="565"/>
      <c r="K114" s="565"/>
      <c r="L114" s="595"/>
      <c r="M114" s="573"/>
    </row>
    <row r="115" spans="2:14">
      <c r="B115" s="574">
        <f>+B113+1</f>
        <v>6</v>
      </c>
      <c r="C115" s="566" t="s">
        <v>453</v>
      </c>
      <c r="D115" s="567"/>
      <c r="E115" s="567"/>
      <c r="F115" s="567"/>
      <c r="G115" s="565"/>
      <c r="H115" s="565"/>
      <c r="I115" s="565"/>
      <c r="J115" s="1282" t="s">
        <v>401</v>
      </c>
      <c r="K115" s="585"/>
      <c r="L115" s="603"/>
      <c r="M115" s="573"/>
    </row>
    <row r="116" spans="2:14">
      <c r="B116" s="574">
        <f>+B115+1</f>
        <v>7</v>
      </c>
      <c r="C116" s="566" t="s">
        <v>454</v>
      </c>
      <c r="D116" s="567"/>
      <c r="E116" s="567"/>
      <c r="F116" s="567"/>
      <c r="G116" s="565"/>
      <c r="H116" s="565"/>
      <c r="I116" s="565"/>
      <c r="J116" s="1282" t="s">
        <v>401</v>
      </c>
      <c r="K116" s="585"/>
      <c r="L116" s="603"/>
      <c r="M116" s="573"/>
    </row>
    <row r="117" spans="2:14">
      <c r="B117" s="574">
        <f>+B116+1</f>
        <v>8</v>
      </c>
      <c r="C117" s="565" t="s">
        <v>455</v>
      </c>
      <c r="D117" s="565"/>
      <c r="E117" s="565"/>
      <c r="F117" s="565"/>
      <c r="G117" s="565"/>
      <c r="H117" s="565"/>
      <c r="I117" s="565"/>
      <c r="J117" s="556">
        <v>0</v>
      </c>
      <c r="K117" s="584" t="s">
        <v>420</v>
      </c>
      <c r="L117" s="604">
        <f>+J117*10000</f>
        <v>0</v>
      </c>
      <c r="M117" s="573"/>
    </row>
    <row r="118" spans="2:14">
      <c r="B118" s="574">
        <f>+B117+1</f>
        <v>9</v>
      </c>
      <c r="C118" s="566" t="s">
        <v>456</v>
      </c>
      <c r="D118" s="567"/>
      <c r="E118" s="567"/>
      <c r="F118" s="567"/>
      <c r="G118" s="565"/>
      <c r="H118" s="565"/>
      <c r="I118" s="565"/>
      <c r="J118" s="1282" t="s">
        <v>401</v>
      </c>
      <c r="K118" s="585"/>
      <c r="L118" s="603"/>
      <c r="M118" s="573"/>
    </row>
    <row r="119" spans="2:14">
      <c r="B119" s="575"/>
      <c r="D119" s="565" t="s">
        <v>457</v>
      </c>
      <c r="E119" s="565"/>
      <c r="F119" s="565"/>
      <c r="G119" s="565"/>
      <c r="H119" s="565"/>
      <c r="I119" s="565"/>
      <c r="J119" s="565"/>
      <c r="K119" s="565"/>
      <c r="L119" s="595"/>
      <c r="M119" s="573"/>
    </row>
    <row r="120" spans="2:14">
      <c r="B120" s="574">
        <f>+B118+1</f>
        <v>10</v>
      </c>
      <c r="C120" s="565" t="s">
        <v>458</v>
      </c>
      <c r="D120" s="565"/>
      <c r="E120" s="565"/>
      <c r="F120" s="565"/>
      <c r="G120" s="565"/>
      <c r="H120" s="556" t="s">
        <v>396</v>
      </c>
      <c r="I120" s="584" t="s">
        <v>459</v>
      </c>
      <c r="J120" s="556" t="s">
        <v>396</v>
      </c>
      <c r="K120" s="584" t="s">
        <v>460</v>
      </c>
      <c r="L120" s="75"/>
      <c r="M120" s="573"/>
    </row>
    <row r="121" spans="2:14">
      <c r="B121" s="575"/>
      <c r="D121" s="565" t="s">
        <v>461</v>
      </c>
      <c r="E121" s="565"/>
      <c r="F121" s="565"/>
      <c r="G121" s="565"/>
      <c r="H121" s="565"/>
      <c r="I121" s="565"/>
      <c r="J121" s="565"/>
      <c r="K121" s="565"/>
      <c r="L121" s="595"/>
      <c r="M121" s="573"/>
    </row>
    <row r="122" spans="2:14">
      <c r="B122" s="574">
        <f>+B120+1</f>
        <v>11</v>
      </c>
      <c r="C122" s="566" t="s">
        <v>462</v>
      </c>
      <c r="D122" s="567"/>
      <c r="E122" s="567"/>
      <c r="F122" s="567"/>
      <c r="G122" s="565"/>
      <c r="H122" s="565"/>
      <c r="I122" s="565"/>
      <c r="J122" s="1282" t="s">
        <v>401</v>
      </c>
      <c r="K122" s="585"/>
      <c r="L122" s="604">
        <f>IF(J122="No",93055,0)</f>
        <v>0</v>
      </c>
      <c r="M122" s="573"/>
    </row>
    <row r="123" spans="2:14">
      <c r="B123" s="575"/>
      <c r="D123" s="566" t="s">
        <v>463</v>
      </c>
      <c r="E123" s="565"/>
      <c r="F123" s="565"/>
      <c r="G123" s="565"/>
      <c r="H123" s="565"/>
      <c r="I123" s="565"/>
      <c r="J123" s="565"/>
      <c r="K123" s="565"/>
      <c r="L123" s="595"/>
      <c r="M123" s="573"/>
    </row>
    <row r="124" spans="2:14">
      <c r="B124" s="574">
        <f>+B122+1</f>
        <v>12</v>
      </c>
      <c r="C124" s="565" t="s">
        <v>464</v>
      </c>
      <c r="D124" s="565"/>
      <c r="E124" s="565"/>
      <c r="F124" s="565"/>
      <c r="G124" s="565"/>
      <c r="H124" s="565"/>
      <c r="I124" s="565"/>
      <c r="J124" s="556">
        <v>0</v>
      </c>
      <c r="K124" s="584" t="s">
        <v>465</v>
      </c>
      <c r="L124" s="75"/>
      <c r="M124" s="573"/>
    </row>
    <row r="125" spans="2:14">
      <c r="B125" s="574">
        <f>+B124+1</f>
        <v>13</v>
      </c>
      <c r="C125" s="565" t="s">
        <v>466</v>
      </c>
      <c r="D125" s="565"/>
      <c r="E125" s="565"/>
      <c r="F125" s="565"/>
      <c r="G125" s="565"/>
      <c r="H125" s="565"/>
      <c r="I125" s="565"/>
      <c r="J125" s="556">
        <v>1</v>
      </c>
      <c r="K125" s="584" t="s">
        <v>420</v>
      </c>
      <c r="L125" s="604">
        <f>+J125*5000</f>
        <v>5000</v>
      </c>
      <c r="M125" s="573"/>
    </row>
    <row r="126" spans="2:14">
      <c r="B126" s="574">
        <f>+B125+1</f>
        <v>14</v>
      </c>
      <c r="C126" s="565" t="s">
        <v>467</v>
      </c>
      <c r="D126" s="565"/>
      <c r="E126" s="565"/>
      <c r="F126" s="565"/>
      <c r="J126" s="556">
        <v>0</v>
      </c>
      <c r="K126" s="584" t="s">
        <v>404</v>
      </c>
      <c r="L126" s="604" t="e">
        <f>IF(L6&lt;50000,55*J126,(IF(L6&lt;100000,60*J126,65*J126)))</f>
        <v>#REF!</v>
      </c>
      <c r="M126" s="573"/>
      <c r="N126" s="598"/>
    </row>
    <row r="127" spans="2:14">
      <c r="B127" s="575"/>
      <c r="C127" s="566"/>
      <c r="D127" s="565"/>
      <c r="E127" s="565"/>
      <c r="F127" s="565"/>
      <c r="G127" s="565"/>
      <c r="H127" s="565"/>
      <c r="I127" s="565"/>
      <c r="J127" s="565"/>
      <c r="K127" s="565"/>
      <c r="L127" s="595"/>
      <c r="M127" s="573"/>
      <c r="N127" s="5"/>
    </row>
    <row r="128" spans="2:14" ht="12.75" thickBot="1">
      <c r="B128" s="576"/>
      <c r="C128" s="577"/>
      <c r="D128" s="577"/>
      <c r="E128" s="577"/>
      <c r="F128" s="577"/>
      <c r="G128" s="577"/>
      <c r="H128" s="577"/>
      <c r="I128" s="577"/>
      <c r="J128" s="588" t="s">
        <v>410</v>
      </c>
      <c r="K128" s="577"/>
      <c r="L128" s="605" t="e">
        <f>SUM(L107:L127)</f>
        <v>#REF!</v>
      </c>
      <c r="M128" s="578"/>
      <c r="N128" s="12">
        <v>2</v>
      </c>
    </row>
    <row r="129" spans="2:17">
      <c r="L129" s="606"/>
      <c r="N129" s="12"/>
    </row>
    <row r="130" spans="2:17" ht="12.75" thickBot="1">
      <c r="B130" s="170" t="s">
        <v>468</v>
      </c>
      <c r="C130" s="613"/>
      <c r="D130" s="613"/>
      <c r="E130" s="613"/>
      <c r="F130" s="613"/>
      <c r="G130" s="579"/>
      <c r="H130" s="580"/>
      <c r="I130" s="581"/>
      <c r="J130" s="582" t="s">
        <v>393</v>
      </c>
      <c r="K130" s="581"/>
      <c r="L130" s="607" t="s">
        <v>394</v>
      </c>
      <c r="M130" s="581"/>
      <c r="N130" s="598"/>
    </row>
    <row r="131" spans="2:17">
      <c r="B131" s="568"/>
      <c r="C131" s="569"/>
      <c r="D131" s="569"/>
      <c r="E131" s="569"/>
      <c r="F131" s="569"/>
      <c r="G131" s="569"/>
      <c r="H131" s="1286"/>
      <c r="I131" s="570"/>
      <c r="J131" s="570"/>
      <c r="K131" s="570"/>
      <c r="L131" s="602"/>
      <c r="M131" s="571"/>
      <c r="N131" s="598"/>
    </row>
    <row r="132" spans="2:17">
      <c r="B132" s="574">
        <f>+B131+1</f>
        <v>1</v>
      </c>
      <c r="C132" s="565" t="s">
        <v>469</v>
      </c>
      <c r="D132" s="567"/>
      <c r="E132" s="567"/>
      <c r="F132" s="567"/>
      <c r="G132" s="565"/>
      <c r="H132" s="565"/>
      <c r="I132" s="565"/>
      <c r="J132" s="1282" t="s">
        <v>401</v>
      </c>
      <c r="K132" s="585"/>
      <c r="L132" s="603"/>
      <c r="M132" s="573"/>
    </row>
    <row r="133" spans="2:17">
      <c r="B133" s="574">
        <f>+B132+1</f>
        <v>2</v>
      </c>
      <c r="C133" s="565" t="s">
        <v>470</v>
      </c>
      <c r="D133" s="565"/>
      <c r="E133" s="565"/>
      <c r="F133" s="565"/>
      <c r="G133" s="565"/>
      <c r="H133" s="565"/>
      <c r="I133" s="565"/>
      <c r="J133" s="468"/>
      <c r="K133" s="584"/>
      <c r="L133" s="610"/>
      <c r="M133" s="573"/>
    </row>
    <row r="134" spans="2:17">
      <c r="B134" s="574"/>
      <c r="C134" s="565"/>
      <c r="D134" s="565"/>
      <c r="E134" s="565"/>
      <c r="F134" s="556">
        <v>0</v>
      </c>
      <c r="G134" s="565" t="s">
        <v>420</v>
      </c>
      <c r="H134" s="556">
        <v>4</v>
      </c>
      <c r="I134" s="584" t="s">
        <v>465</v>
      </c>
      <c r="J134" s="556">
        <v>0</v>
      </c>
      <c r="K134" s="584" t="s">
        <v>404</v>
      </c>
      <c r="L134" s="604">
        <f>+J134*150</f>
        <v>0</v>
      </c>
      <c r="M134" s="573"/>
    </row>
    <row r="135" spans="2:17">
      <c r="B135" s="574">
        <f>+B133+1</f>
        <v>3</v>
      </c>
      <c r="C135" s="621" t="s">
        <v>471</v>
      </c>
      <c r="D135" s="565"/>
      <c r="E135" s="1441" t="s">
        <v>472</v>
      </c>
      <c r="F135" s="1441"/>
      <c r="G135" s="628" t="s">
        <v>473</v>
      </c>
      <c r="H135" s="556">
        <v>24</v>
      </c>
      <c r="I135" s="584" t="s">
        <v>474</v>
      </c>
      <c r="J135" s="556">
        <v>0</v>
      </c>
      <c r="K135" s="584" t="s">
        <v>404</v>
      </c>
      <c r="L135" s="604">
        <f>IF(E135="Copper",(IF(G135="200 PAIR",J135*10,(IF(G135="400 PAIR",J135*20,J135*30)))),0)</f>
        <v>0</v>
      </c>
      <c r="M135" s="573"/>
      <c r="Q135" s="622"/>
    </row>
    <row r="136" spans="2:17">
      <c r="B136" s="574">
        <f>+B135+1</f>
        <v>4</v>
      </c>
      <c r="C136" s="621" t="s">
        <v>475</v>
      </c>
      <c r="D136" s="565"/>
      <c r="E136" s="1441" t="s">
        <v>472</v>
      </c>
      <c r="F136" s="1441"/>
      <c r="G136" s="565"/>
      <c r="H136" s="614" t="s">
        <v>476</v>
      </c>
      <c r="I136" s="584" t="s">
        <v>477</v>
      </c>
      <c r="J136" s="556">
        <v>0</v>
      </c>
      <c r="K136" s="584" t="s">
        <v>404</v>
      </c>
      <c r="L136" s="604">
        <f>IF(E136="Fiber Coaxial",J136*20,(IF(E136="Optical Fiber",J136*30,0)))</f>
        <v>0</v>
      </c>
      <c r="M136" s="573"/>
    </row>
    <row r="137" spans="2:17">
      <c r="B137" s="574">
        <f>+B136+1</f>
        <v>5</v>
      </c>
      <c r="C137" s="621" t="s">
        <v>478</v>
      </c>
      <c r="D137" s="565"/>
      <c r="E137" s="1441" t="s">
        <v>472</v>
      </c>
      <c r="F137" s="1441"/>
      <c r="G137" s="565"/>
      <c r="H137" s="614" t="s">
        <v>476</v>
      </c>
      <c r="I137" s="584" t="s">
        <v>477</v>
      </c>
      <c r="J137" s="556">
        <v>0</v>
      </c>
      <c r="K137" s="584" t="s">
        <v>404</v>
      </c>
      <c r="L137" s="604">
        <f>IF(E137="Fiber Coaxial",J137*20,(IF(E137="Optical Fiber",J137*30,0)))</f>
        <v>0</v>
      </c>
      <c r="M137" s="573"/>
    </row>
    <row r="138" spans="2:17">
      <c r="B138" s="574">
        <f>+B137+1</f>
        <v>6</v>
      </c>
      <c r="C138" s="565" t="s">
        <v>479</v>
      </c>
      <c r="D138" s="565"/>
      <c r="E138" s="565"/>
      <c r="F138" s="565"/>
      <c r="G138" s="565"/>
      <c r="H138" s="565"/>
      <c r="I138" s="565"/>
      <c r="J138" s="28">
        <f>+ROUND(J134/150,0)</f>
        <v>0</v>
      </c>
      <c r="K138" s="584" t="s">
        <v>420</v>
      </c>
      <c r="L138" s="604">
        <f>J138*5000</f>
        <v>0</v>
      </c>
      <c r="M138" s="573"/>
      <c r="N138" s="552"/>
    </row>
    <row r="139" spans="2:17">
      <c r="B139" s="575"/>
      <c r="C139" s="565"/>
      <c r="D139" s="565"/>
      <c r="E139" s="565"/>
      <c r="F139" s="565"/>
      <c r="G139" s="565"/>
      <c r="H139" s="565"/>
      <c r="I139" s="565"/>
      <c r="J139" s="565"/>
      <c r="K139" s="565"/>
      <c r="L139" s="595"/>
      <c r="M139" s="573"/>
    </row>
    <row r="140" spans="2:17">
      <c r="B140" s="575"/>
      <c r="C140" s="565"/>
      <c r="D140" s="565"/>
      <c r="E140" s="565"/>
      <c r="F140" s="565"/>
      <c r="G140" s="565"/>
      <c r="H140" s="565"/>
      <c r="I140" s="565"/>
      <c r="J140" s="625" t="s">
        <v>410</v>
      </c>
      <c r="K140" s="565"/>
      <c r="L140" s="626">
        <f>SUM(L131:L139)</f>
        <v>0</v>
      </c>
      <c r="M140" s="573"/>
    </row>
    <row r="141" spans="2:17">
      <c r="B141" s="575"/>
      <c r="C141" s="565"/>
      <c r="D141" s="565"/>
      <c r="E141" s="565"/>
      <c r="F141" s="565"/>
      <c r="G141" s="565"/>
      <c r="H141" s="565"/>
      <c r="I141" s="565"/>
      <c r="J141" s="625"/>
      <c r="K141" s="565"/>
      <c r="L141" s="626"/>
      <c r="M141" s="573"/>
    </row>
    <row r="142" spans="2:17">
      <c r="B142" s="575"/>
      <c r="D142" s="625" t="s">
        <v>480</v>
      </c>
      <c r="E142" s="565"/>
      <c r="F142" s="565"/>
      <c r="G142" s="565"/>
      <c r="H142" s="565"/>
      <c r="I142" s="565"/>
      <c r="J142" s="565"/>
      <c r="K142" s="565"/>
      <c r="L142" s="595"/>
      <c r="M142" s="573"/>
    </row>
    <row r="143" spans="2:17" ht="35.25" customHeight="1">
      <c r="B143" s="575"/>
      <c r="C143" s="565"/>
      <c r="D143" s="1445" t="s">
        <v>481</v>
      </c>
      <c r="E143" s="1446"/>
      <c r="F143" s="1446"/>
      <c r="G143" s="1446"/>
      <c r="H143" s="1446"/>
      <c r="I143" s="1446"/>
      <c r="J143" s="1446"/>
      <c r="K143" s="1446"/>
      <c r="L143" s="595"/>
      <c r="M143" s="573"/>
    </row>
    <row r="144" spans="2:17" ht="24.75" customHeight="1">
      <c r="B144" s="575"/>
      <c r="C144" s="565"/>
      <c r="D144" s="1445" t="s">
        <v>482</v>
      </c>
      <c r="E144" s="1446"/>
      <c r="F144" s="1446"/>
      <c r="G144" s="1446"/>
      <c r="H144" s="1446"/>
      <c r="I144" s="1446"/>
      <c r="J144" s="1446"/>
      <c r="K144" s="1446"/>
      <c r="L144" s="595"/>
      <c r="M144" s="573"/>
    </row>
    <row r="145" spans="2:14" ht="36" customHeight="1">
      <c r="B145" s="575"/>
      <c r="C145" s="565"/>
      <c r="D145" s="1445" t="s">
        <v>483</v>
      </c>
      <c r="E145" s="1446"/>
      <c r="F145" s="1446"/>
      <c r="G145" s="1446"/>
      <c r="H145" s="1446"/>
      <c r="I145" s="1446"/>
      <c r="J145" s="1446"/>
      <c r="K145" s="1446"/>
      <c r="L145" s="595"/>
      <c r="M145" s="573"/>
    </row>
    <row r="146" spans="2:14" ht="12.75" thickBot="1">
      <c r="B146" s="576"/>
      <c r="C146" s="577"/>
      <c r="D146" s="577"/>
      <c r="E146" s="577"/>
      <c r="F146" s="577"/>
      <c r="G146" s="577"/>
      <c r="H146" s="577"/>
      <c r="I146" s="577"/>
      <c r="J146" s="577"/>
      <c r="K146" s="577"/>
      <c r="L146" s="577"/>
      <c r="M146" s="578"/>
    </row>
    <row r="147" spans="2:14">
      <c r="L147" s="606"/>
    </row>
    <row r="148" spans="2:14" ht="12.75" thickBot="1">
      <c r="B148" s="23" t="s">
        <v>484</v>
      </c>
      <c r="C148" s="579"/>
      <c r="D148" s="579"/>
      <c r="E148" s="579"/>
      <c r="F148" s="579"/>
      <c r="G148" s="579"/>
      <c r="H148" s="580"/>
      <c r="I148" s="581"/>
      <c r="J148" s="582" t="s">
        <v>393</v>
      </c>
      <c r="K148" s="581"/>
      <c r="L148" s="607" t="s">
        <v>394</v>
      </c>
      <c r="M148" s="581"/>
    </row>
    <row r="149" spans="2:14">
      <c r="B149" s="568"/>
      <c r="C149" s="569"/>
      <c r="D149" s="569"/>
      <c r="E149" s="569"/>
      <c r="F149" s="569"/>
      <c r="G149" s="569"/>
      <c r="H149" s="1286"/>
      <c r="I149" s="570"/>
      <c r="J149" s="570"/>
      <c r="K149" s="570"/>
      <c r="L149" s="602"/>
      <c r="M149" s="571"/>
    </row>
    <row r="150" spans="2:14">
      <c r="B150" s="572">
        <v>1</v>
      </c>
      <c r="C150" s="565" t="s">
        <v>485</v>
      </c>
      <c r="D150" s="565"/>
      <c r="E150" s="565"/>
      <c r="F150" s="565"/>
      <c r="G150" s="565"/>
      <c r="H150" s="565"/>
      <c r="I150" s="565"/>
      <c r="J150" s="556">
        <v>0</v>
      </c>
      <c r="K150" s="584" t="s">
        <v>404</v>
      </c>
      <c r="L150" s="604">
        <f>+J150*50</f>
        <v>0</v>
      </c>
      <c r="M150" s="573"/>
      <c r="N150" s="552"/>
    </row>
    <row r="151" spans="2:14">
      <c r="B151" s="575"/>
      <c r="C151" s="565"/>
      <c r="D151" s="565"/>
      <c r="E151" s="565"/>
      <c r="F151" s="565"/>
      <c r="G151" s="565"/>
      <c r="H151" s="565"/>
      <c r="I151" s="565"/>
      <c r="J151" s="565"/>
      <c r="K151" s="565"/>
      <c r="L151" s="595"/>
      <c r="M151" s="573"/>
    </row>
    <row r="152" spans="2:14" ht="12.75" thickBot="1">
      <c r="B152" s="576"/>
      <c r="C152" s="577"/>
      <c r="D152" s="577"/>
      <c r="E152" s="577"/>
      <c r="F152" s="577"/>
      <c r="G152" s="577"/>
      <c r="H152" s="577"/>
      <c r="I152" s="577"/>
      <c r="J152" s="588" t="s">
        <v>410</v>
      </c>
      <c r="K152" s="577"/>
      <c r="L152" s="605">
        <f>SUM(L149:L151)</f>
        <v>0</v>
      </c>
      <c r="M152" s="578"/>
    </row>
    <row r="153" spans="2:14">
      <c r="L153" s="606"/>
    </row>
    <row r="154" spans="2:14" ht="12.75" thickBot="1">
      <c r="B154" s="23" t="s">
        <v>486</v>
      </c>
      <c r="C154" s="579"/>
      <c r="D154" s="579"/>
      <c r="E154" s="579"/>
      <c r="F154" s="579"/>
      <c r="G154" s="579"/>
      <c r="H154" s="580"/>
      <c r="I154" s="581"/>
      <c r="J154" s="582" t="s">
        <v>393</v>
      </c>
      <c r="K154" s="581"/>
      <c r="L154" s="607" t="s">
        <v>394</v>
      </c>
      <c r="M154" s="581"/>
    </row>
    <row r="155" spans="2:14">
      <c r="B155" s="568"/>
      <c r="C155" s="569"/>
      <c r="D155" s="569"/>
      <c r="E155" s="569"/>
      <c r="F155" s="569"/>
      <c r="G155" s="569"/>
      <c r="H155" s="1286"/>
      <c r="I155" s="570"/>
      <c r="J155" s="570"/>
      <c r="K155" s="570"/>
      <c r="L155" s="602"/>
      <c r="M155" s="571"/>
    </row>
    <row r="156" spans="2:14">
      <c r="B156" s="572">
        <v>1</v>
      </c>
      <c r="C156" s="552" t="s">
        <v>487</v>
      </c>
      <c r="D156" s="565"/>
      <c r="E156" s="565"/>
      <c r="F156" s="565"/>
      <c r="G156" s="565"/>
      <c r="H156" s="565"/>
      <c r="I156" s="565"/>
      <c r="J156" s="468"/>
      <c r="K156" s="584"/>
      <c r="L156" s="610"/>
      <c r="M156" s="573"/>
    </row>
    <row r="157" spans="2:14">
      <c r="B157" s="575"/>
      <c r="C157" s="595" t="s">
        <v>87</v>
      </c>
      <c r="D157" s="565" t="s">
        <v>488</v>
      </c>
      <c r="E157" s="596"/>
      <c r="F157" s="596"/>
      <c r="G157" s="596"/>
      <c r="H157" s="596"/>
      <c r="I157" s="565"/>
      <c r="J157" s="556">
        <v>0</v>
      </c>
      <c r="K157" s="584" t="s">
        <v>404</v>
      </c>
      <c r="L157" s="611">
        <v>0</v>
      </c>
      <c r="M157" s="573"/>
    </row>
    <row r="158" spans="2:14">
      <c r="B158" s="575"/>
      <c r="C158" s="595" t="s">
        <v>90</v>
      </c>
      <c r="D158" s="565" t="s">
        <v>488</v>
      </c>
      <c r="E158" s="596"/>
      <c r="F158" s="596"/>
      <c r="G158" s="596"/>
      <c r="H158" s="596"/>
      <c r="I158" s="565"/>
      <c r="J158" s="556">
        <v>0</v>
      </c>
      <c r="K158" s="584" t="s">
        <v>404</v>
      </c>
      <c r="L158" s="611">
        <v>0</v>
      </c>
      <c r="M158" s="573"/>
      <c r="N158" s="552"/>
    </row>
    <row r="159" spans="2:14">
      <c r="B159" s="575"/>
      <c r="C159" s="595"/>
      <c r="D159" s="565"/>
      <c r="E159" s="565"/>
      <c r="F159" s="565"/>
      <c r="G159" s="565"/>
      <c r="H159" s="565"/>
      <c r="I159" s="565"/>
      <c r="J159" s="468"/>
      <c r="K159" s="584"/>
      <c r="L159" s="612"/>
      <c r="M159" s="573"/>
    </row>
    <row r="160" spans="2:14" ht="12.75" thickBot="1">
      <c r="B160" s="576"/>
      <c r="C160" s="577"/>
      <c r="D160" s="577"/>
      <c r="E160" s="577"/>
      <c r="F160" s="577"/>
      <c r="G160" s="577"/>
      <c r="H160" s="577"/>
      <c r="I160" s="577"/>
      <c r="J160" s="588" t="s">
        <v>410</v>
      </c>
      <c r="K160" s="577"/>
      <c r="L160" s="605">
        <f>SUM(L155:L159)</f>
        <v>0</v>
      </c>
      <c r="M160" s="578"/>
    </row>
    <row r="161" spans="2:14">
      <c r="L161" s="606"/>
    </row>
    <row r="162" spans="2:14" ht="12.75" thickBot="1">
      <c r="B162" s="23" t="s">
        <v>489</v>
      </c>
      <c r="C162" s="579"/>
      <c r="D162" s="579"/>
      <c r="E162" s="579"/>
      <c r="F162" s="579"/>
      <c r="G162" s="579"/>
      <c r="H162" s="580"/>
      <c r="I162" s="581"/>
      <c r="J162" s="582" t="s">
        <v>393</v>
      </c>
      <c r="K162" s="581"/>
      <c r="L162" s="607" t="s">
        <v>394</v>
      </c>
      <c r="M162" s="581"/>
    </row>
    <row r="163" spans="2:14">
      <c r="B163" s="568"/>
      <c r="C163" s="569"/>
      <c r="D163" s="569"/>
      <c r="E163" s="569"/>
      <c r="F163" s="569"/>
      <c r="G163" s="569"/>
      <c r="H163" s="1286"/>
      <c r="I163" s="570"/>
      <c r="J163" s="570"/>
      <c r="K163" s="570"/>
      <c r="L163" s="602"/>
      <c r="M163" s="571"/>
    </row>
    <row r="164" spans="2:14">
      <c r="B164" s="572">
        <v>1</v>
      </c>
      <c r="C164" s="552" t="s">
        <v>490</v>
      </c>
      <c r="D164" s="565"/>
      <c r="E164" s="565"/>
      <c r="F164" s="565"/>
      <c r="G164" s="565"/>
      <c r="H164" s="565"/>
      <c r="I164" s="565"/>
      <c r="J164" s="1282" t="s">
        <v>401</v>
      </c>
      <c r="K164" s="584"/>
      <c r="L164" s="610"/>
      <c r="M164" s="573"/>
    </row>
    <row r="165" spans="2:14">
      <c r="B165" s="575"/>
      <c r="D165" s="552" t="s">
        <v>491</v>
      </c>
      <c r="E165" s="565"/>
      <c r="F165" s="565"/>
      <c r="G165" s="565"/>
      <c r="H165" s="565"/>
      <c r="I165" s="565"/>
      <c r="J165" s="565"/>
      <c r="K165" s="565"/>
      <c r="L165" s="611">
        <v>0</v>
      </c>
      <c r="M165" s="573"/>
      <c r="N165" s="552"/>
    </row>
    <row r="166" spans="2:14">
      <c r="B166" s="575"/>
      <c r="C166" s="595"/>
      <c r="D166" s="565"/>
      <c r="E166" s="565"/>
      <c r="F166" s="565"/>
      <c r="G166" s="565"/>
      <c r="H166" s="565"/>
      <c r="I166" s="565"/>
      <c r="J166" s="468"/>
      <c r="K166" s="584"/>
      <c r="L166" s="612"/>
      <c r="M166" s="573"/>
      <c r="N166" s="552"/>
    </row>
    <row r="167" spans="2:14" ht="12.75" thickBot="1">
      <c r="B167" s="576"/>
      <c r="C167" s="577"/>
      <c r="D167" s="577"/>
      <c r="E167" s="577"/>
      <c r="F167" s="577"/>
      <c r="G167" s="577"/>
      <c r="H167" s="577"/>
      <c r="I167" s="577"/>
      <c r="J167" s="588" t="s">
        <v>410</v>
      </c>
      <c r="K167" s="577"/>
      <c r="L167" s="605">
        <f>SUM(L163:L166)</f>
        <v>0</v>
      </c>
      <c r="M167" s="578"/>
    </row>
    <row r="168" spans="2:14">
      <c r="L168" s="606"/>
      <c r="N168" s="552"/>
    </row>
    <row r="169" spans="2:14" ht="12.75" thickBot="1">
      <c r="B169" s="23" t="s">
        <v>492</v>
      </c>
      <c r="C169" s="579"/>
      <c r="D169" s="579"/>
      <c r="E169" s="579"/>
      <c r="F169" s="579"/>
      <c r="G169" s="579"/>
      <c r="H169" s="580"/>
      <c r="I169" s="581"/>
      <c r="J169" s="582" t="s">
        <v>393</v>
      </c>
      <c r="K169" s="581"/>
      <c r="L169" s="607" t="s">
        <v>394</v>
      </c>
      <c r="M169" s="581"/>
    </row>
    <row r="170" spans="2:14">
      <c r="B170" s="568"/>
      <c r="C170" s="569"/>
      <c r="D170" s="569"/>
      <c r="E170" s="569"/>
      <c r="F170" s="569"/>
      <c r="G170" s="569"/>
      <c r="H170" s="1286"/>
      <c r="I170" s="570"/>
      <c r="J170" s="570"/>
      <c r="K170" s="570"/>
      <c r="L170" s="602"/>
      <c r="M170" s="571"/>
    </row>
    <row r="171" spans="2:14">
      <c r="B171" s="572">
        <v>1</v>
      </c>
      <c r="C171" s="552" t="s">
        <v>493</v>
      </c>
      <c r="D171" s="565"/>
      <c r="E171" s="565"/>
      <c r="F171" s="565"/>
      <c r="G171" s="1441" t="s">
        <v>494</v>
      </c>
      <c r="H171" s="1441"/>
      <c r="I171" s="1441"/>
      <c r="J171" s="1441"/>
      <c r="K171" s="584"/>
      <c r="L171" s="610"/>
      <c r="M171" s="573"/>
    </row>
    <row r="172" spans="2:14">
      <c r="B172" s="572">
        <f>+B171+1</f>
        <v>2</v>
      </c>
      <c r="C172" s="552" t="s">
        <v>495</v>
      </c>
      <c r="D172" s="565"/>
      <c r="E172" s="565"/>
      <c r="F172" s="565"/>
      <c r="G172" s="565"/>
      <c r="H172" s="565"/>
      <c r="I172" s="565"/>
      <c r="J172" s="1282" t="s">
        <v>401</v>
      </c>
      <c r="K172" s="584"/>
      <c r="L172" s="611">
        <v>0</v>
      </c>
      <c r="M172" s="573"/>
    </row>
    <row r="173" spans="2:14">
      <c r="B173" s="575"/>
      <c r="D173" s="552" t="s">
        <v>496</v>
      </c>
      <c r="E173" s="565"/>
      <c r="F173" s="565"/>
      <c r="G173" s="565"/>
      <c r="H173" s="565"/>
      <c r="I173" s="565"/>
      <c r="J173" s="565"/>
      <c r="K173" s="565"/>
      <c r="L173" s="606"/>
      <c r="M173" s="573"/>
    </row>
    <row r="174" spans="2:14">
      <c r="B174" s="572">
        <f>+B172+1</f>
        <v>3</v>
      </c>
      <c r="C174" s="552" t="s">
        <v>497</v>
      </c>
      <c r="D174" s="565"/>
      <c r="E174" s="565"/>
      <c r="F174" s="565"/>
      <c r="G174" s="565"/>
      <c r="H174" s="565"/>
      <c r="I174" s="565"/>
      <c r="J174" s="1282" t="s">
        <v>401</v>
      </c>
      <c r="K174" s="584"/>
      <c r="L174" s="611">
        <v>0</v>
      </c>
      <c r="M174" s="573"/>
    </row>
    <row r="175" spans="2:14">
      <c r="B175" s="575"/>
      <c r="D175" s="552" t="s">
        <v>498</v>
      </c>
      <c r="E175" s="565"/>
      <c r="F175" s="565"/>
      <c r="G175" s="565"/>
      <c r="H175" s="565"/>
      <c r="I175" s="565"/>
      <c r="J175" s="565"/>
      <c r="K175" s="565"/>
      <c r="L175" s="606"/>
      <c r="M175" s="573"/>
      <c r="N175" s="552"/>
    </row>
    <row r="176" spans="2:14">
      <c r="B176" s="575"/>
      <c r="C176" s="595"/>
      <c r="D176" s="565"/>
      <c r="E176" s="565"/>
      <c r="F176" s="565"/>
      <c r="G176" s="565"/>
      <c r="H176" s="565"/>
      <c r="I176" s="565"/>
      <c r="J176" s="468"/>
      <c r="K176" s="584"/>
      <c r="L176" s="612"/>
      <c r="M176" s="573"/>
    </row>
    <row r="177" spans="2:14" ht="12.75" thickBot="1">
      <c r="B177" s="576"/>
      <c r="C177" s="577"/>
      <c r="D177" s="577"/>
      <c r="E177" s="577"/>
      <c r="F177" s="577"/>
      <c r="G177" s="577"/>
      <c r="H177" s="577"/>
      <c r="I177" s="577"/>
      <c r="J177" s="588" t="s">
        <v>410</v>
      </c>
      <c r="K177" s="577"/>
      <c r="L177" s="605">
        <f>SUM(L170:L176)</f>
        <v>0</v>
      </c>
      <c r="M177" s="578"/>
      <c r="N177" s="552"/>
    </row>
    <row r="178" spans="2:14">
      <c r="L178" s="606"/>
    </row>
    <row r="179" spans="2:14" ht="12.75" thickBot="1">
      <c r="B179" s="23" t="s">
        <v>499</v>
      </c>
      <c r="C179" s="579"/>
      <c r="D179" s="579"/>
      <c r="E179" s="579"/>
      <c r="F179" s="579"/>
      <c r="G179" s="579"/>
      <c r="H179" s="580"/>
      <c r="I179" s="581"/>
      <c r="J179" s="582" t="s">
        <v>393</v>
      </c>
      <c r="K179" s="581"/>
      <c r="L179" s="607" t="s">
        <v>394</v>
      </c>
      <c r="M179" s="581"/>
    </row>
    <row r="180" spans="2:14">
      <c r="B180" s="568"/>
      <c r="C180" s="569"/>
      <c r="D180" s="569"/>
      <c r="E180" s="569"/>
      <c r="F180" s="569"/>
      <c r="G180" s="569"/>
      <c r="H180" s="1286"/>
      <c r="I180" s="570"/>
      <c r="J180" s="570"/>
      <c r="K180" s="570"/>
      <c r="L180" s="602"/>
      <c r="M180" s="571"/>
    </row>
    <row r="181" spans="2:14">
      <c r="B181" s="572">
        <v>1</v>
      </c>
      <c r="C181" s="552" t="s">
        <v>500</v>
      </c>
      <c r="D181" s="565"/>
      <c r="E181" s="565"/>
      <c r="F181" s="565"/>
      <c r="G181" s="565"/>
      <c r="H181" s="565"/>
      <c r="I181" s="565"/>
      <c r="J181" s="1282" t="s">
        <v>401</v>
      </c>
      <c r="K181" s="584"/>
      <c r="L181" s="611">
        <v>0</v>
      </c>
      <c r="M181" s="573"/>
    </row>
    <row r="182" spans="2:14">
      <c r="B182" s="575"/>
      <c r="D182" s="552" t="s">
        <v>501</v>
      </c>
      <c r="E182" s="565"/>
      <c r="F182" s="565"/>
      <c r="G182" s="565"/>
      <c r="H182" s="565"/>
      <c r="I182" s="565"/>
      <c r="J182" s="565"/>
      <c r="K182" s="565"/>
      <c r="L182" s="595"/>
      <c r="M182" s="573"/>
    </row>
    <row r="183" spans="2:14">
      <c r="B183" s="572">
        <f>+B181+1</f>
        <v>2</v>
      </c>
      <c r="C183" s="555" t="s">
        <v>502</v>
      </c>
      <c r="D183" s="565"/>
      <c r="E183" s="565"/>
      <c r="F183" s="565"/>
      <c r="G183" s="565"/>
      <c r="H183" s="565"/>
      <c r="I183" s="565"/>
      <c r="J183" s="1282" t="s">
        <v>401</v>
      </c>
      <c r="K183" s="584"/>
      <c r="L183" s="611">
        <v>0</v>
      </c>
      <c r="M183" s="573"/>
    </row>
    <row r="184" spans="2:14">
      <c r="B184" s="575"/>
      <c r="D184" s="552" t="s">
        <v>503</v>
      </c>
      <c r="E184" s="565"/>
      <c r="F184" s="565"/>
      <c r="G184" s="565"/>
      <c r="H184" s="565"/>
      <c r="I184" s="565"/>
      <c r="J184" s="565"/>
      <c r="K184" s="565"/>
      <c r="L184" s="606"/>
      <c r="M184" s="573"/>
    </row>
    <row r="185" spans="2:14">
      <c r="B185" s="575"/>
      <c r="D185" s="552" t="s">
        <v>504</v>
      </c>
      <c r="E185" s="565"/>
      <c r="F185" s="565"/>
      <c r="G185" s="565"/>
      <c r="H185" s="565"/>
      <c r="I185" s="565"/>
      <c r="J185" s="565"/>
      <c r="K185" s="565"/>
      <c r="L185" s="606"/>
      <c r="M185" s="573"/>
    </row>
    <row r="186" spans="2:14">
      <c r="B186" s="575"/>
      <c r="D186" s="552" t="s">
        <v>505</v>
      </c>
      <c r="E186" s="565"/>
      <c r="F186" s="565"/>
      <c r="G186" s="565"/>
      <c r="H186" s="565"/>
      <c r="I186" s="565"/>
      <c r="J186" s="565"/>
      <c r="K186" s="565"/>
      <c r="L186" s="606"/>
      <c r="M186" s="573"/>
    </row>
    <row r="187" spans="2:14">
      <c r="B187" s="575"/>
      <c r="C187" s="595"/>
      <c r="D187" s="565"/>
      <c r="E187" s="565"/>
      <c r="F187" s="565"/>
      <c r="G187" s="565"/>
      <c r="H187" s="565"/>
      <c r="I187" s="565"/>
      <c r="J187" s="468"/>
      <c r="K187" s="584"/>
      <c r="L187" s="612"/>
      <c r="M187" s="573"/>
    </row>
    <row r="188" spans="2:14" ht="12.75" thickBot="1">
      <c r="B188" s="576"/>
      <c r="C188" s="577"/>
      <c r="D188" s="577"/>
      <c r="E188" s="577"/>
      <c r="F188" s="577"/>
      <c r="G188" s="577"/>
      <c r="H188" s="577"/>
      <c r="I188" s="577"/>
      <c r="J188" s="588" t="s">
        <v>410</v>
      </c>
      <c r="K188" s="577"/>
      <c r="L188" s="605">
        <f>SUM(L180:L187)</f>
        <v>0</v>
      </c>
      <c r="M188" s="578"/>
    </row>
    <row r="189" spans="2:14">
      <c r="L189" s="606"/>
    </row>
    <row r="190" spans="2:14" ht="12.75" thickBot="1">
      <c r="C190" s="579"/>
      <c r="D190" s="579"/>
      <c r="E190" s="579"/>
      <c r="F190" s="579"/>
      <c r="G190" s="579"/>
      <c r="H190" s="580"/>
      <c r="I190" s="581"/>
      <c r="J190" s="582"/>
      <c r="K190" s="581"/>
      <c r="L190" s="607"/>
      <c r="M190" s="581"/>
    </row>
    <row r="191" spans="2:14">
      <c r="B191" s="568"/>
      <c r="C191" s="569"/>
      <c r="D191" s="569"/>
      <c r="E191" s="569"/>
      <c r="F191" s="569"/>
      <c r="G191" s="569"/>
      <c r="H191" s="1286"/>
      <c r="I191" s="570"/>
      <c r="J191" s="570"/>
      <c r="K191" s="570"/>
      <c r="L191" s="602"/>
      <c r="M191" s="571"/>
    </row>
    <row r="192" spans="2:14">
      <c r="B192" s="575"/>
      <c r="C192" s="23" t="s">
        <v>506</v>
      </c>
      <c r="D192" s="565"/>
      <c r="E192" s="565"/>
      <c r="F192" s="565"/>
      <c r="G192" s="565"/>
      <c r="H192" s="565"/>
      <c r="I192" s="565"/>
      <c r="J192" s="468"/>
      <c r="K192" s="584"/>
      <c r="L192" s="612"/>
      <c r="M192" s="573"/>
    </row>
    <row r="193" spans="2:13" ht="12.75" thickBot="1">
      <c r="B193" s="576"/>
      <c r="C193" s="577"/>
      <c r="D193" s="577"/>
      <c r="E193" s="577"/>
      <c r="F193" s="577"/>
      <c r="G193" s="577"/>
      <c r="H193" s="577"/>
      <c r="I193" s="577"/>
      <c r="J193" s="588" t="s">
        <v>410</v>
      </c>
      <c r="K193" s="577"/>
      <c r="L193" s="605" t="e">
        <f>+L188+L177+L167+L160+L152+L140+L128+L103+L93+L75+L57+L45+L34+L28</f>
        <v>#REF!</v>
      </c>
      <c r="M193" s="578"/>
    </row>
  </sheetData>
  <mergeCells count="20">
    <mergeCell ref="G38:J38"/>
    <mergeCell ref="G49:J49"/>
    <mergeCell ref="G17:J17"/>
    <mergeCell ref="B11:N11"/>
    <mergeCell ref="G97:J97"/>
    <mergeCell ref="G171:J171"/>
    <mergeCell ref="G107:J107"/>
    <mergeCell ref="D143:K143"/>
    <mergeCell ref="D144:K144"/>
    <mergeCell ref="D145:K145"/>
    <mergeCell ref="E135:F135"/>
    <mergeCell ref="E136:F136"/>
    <mergeCell ref="E137:F137"/>
    <mergeCell ref="B2:M2"/>
    <mergeCell ref="B1:M1"/>
    <mergeCell ref="B3:M3"/>
    <mergeCell ref="J8:M8"/>
    <mergeCell ref="D5:H5"/>
    <mergeCell ref="D6:H6"/>
    <mergeCell ref="D8:H8"/>
  </mergeCells>
  <dataValidations xWindow="470" yWindow="353" count="11">
    <dataValidation type="list" allowBlank="1" showInputMessage="1" showErrorMessage="1" sqref="J164 J132 J122 J118 J115:J116 J110 J108 J98 J87 J81 J79 J63 J61 J50 J39 J18 J183 J181 J174 J172" xr:uid="{00000000-0002-0000-0700-000000000000}">
      <formula1>"Yes/No,Yes,No"</formula1>
    </dataValidation>
    <dataValidation type="list" allowBlank="1" showInputMessage="1" showErrorMessage="1" promptTitle="NAME OF AIR DISTRICT" prompt="Select local Air District" sqref="G171:J171" xr:uid="{00000000-0002-0000-0700-000001000000}">
      <formula1>Util_AQMD</formula1>
    </dataValidation>
    <dataValidation type="list" allowBlank="1" showInputMessage="1" showErrorMessage="1" sqref="E135:E137" xr:uid="{00000000-0002-0000-0700-000002000000}">
      <formula1>Util_Cable_Medium</formula1>
    </dataValidation>
    <dataValidation type="list" allowBlank="1" sqref="G135" xr:uid="{00000000-0002-0000-0700-000003000000}">
      <formula1>"200 PAIR,400 PAIR,600 PAIR"</formula1>
    </dataValidation>
    <dataValidation type="list" allowBlank="1" showInputMessage="1" promptTitle="NAME OF PUBLIC UTILITY" prompt="Select Public Utility or INPUT if not available" sqref="G38:J38" xr:uid="{00000000-0002-0000-0700-000004000000}">
      <formula1>Util_Sewer</formula1>
    </dataValidation>
    <dataValidation type="list" allowBlank="1" showInputMessage="1" showErrorMessage="1" promptTitle="NAME OF PUBLIC UTILITY" prompt="Select Public Utility" sqref="G97:J97" xr:uid="{00000000-0002-0000-0700-000005000000}">
      <formula1>UTIL_GAS</formula1>
    </dataValidation>
    <dataValidation type="list" allowBlank="1" showInputMessage="1" promptTitle="NAME OF PUBLIC UTILITY" prompt="Select Public Utility or INPUT if not available" sqref="G107:J107" xr:uid="{00000000-0002-0000-0700-000006000000}">
      <formula1>Util_Water</formula1>
    </dataValidation>
    <dataValidation type="list" allowBlank="1" showInputMessage="1" promptTitle="NAME OF PUBLIC UTILITY" prompt="Select Public Utility or INPUT if not available" sqref="G49:J49" xr:uid="{00000000-0002-0000-0700-000007000000}">
      <formula1>Util_Storm</formula1>
    </dataValidation>
    <dataValidation type="list" allowBlank="1" showInputMessage="1" showErrorMessage="1" promptTitle="NAME OF PUBLIC UTILITY" prompt="Select Public Utility._x000a__x000a_If UTILITY is a 3rd party and NOT the campus, then connection letter from the Utility should include ALL costs for a new service." sqref="G17:J17" xr:uid="{00000000-0002-0000-0700-000008000000}">
      <formula1>UTIL_ELEC</formula1>
    </dataValidation>
    <dataValidation type="list" allowBlank="1" showInputMessage="1" showErrorMessage="1" promptTitle="SELECT A PROJECT PHASE" prompt="Select Phase for submitted 2-8 Milestone." sqref="D8:H8" xr:uid="{00000000-0002-0000-0700-000009000000}">
      <formula1>SITE_UTILITY_PHASES</formula1>
    </dataValidation>
    <dataValidation type="list" allowBlank="1" showInputMessage="1" showErrorMessage="1" promptTitle="SELECT GENERIC FACILTY TYPE" prompt="Used for Outyear calculation placeholders" sqref="J8" xr:uid="{00000000-0002-0000-0700-00000A000000}">
      <formula1>HEAT_TYPES</formula1>
    </dataValidation>
  </dataValidations>
  <printOptions horizontalCentered="1"/>
  <pageMargins left="0" right="0" top="0.5" bottom="0.5" header="0.3" footer="0.3"/>
  <pageSetup scale="75" fitToHeight="3" orientation="portrait" cellComments="asDisplayed" r:id="rId1"/>
  <rowBreaks count="2" manualBreakCount="2">
    <brk id="76" max="13" man="1"/>
    <brk id="147" max="13" man="1"/>
  </rowBreaks>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820004-4C7E-4E64-BC03-54B93D7D0A53}">
  <sheetPr>
    <tabColor rgb="FF92D050"/>
    <pageSetUpPr fitToPage="1"/>
  </sheetPr>
  <dimension ref="A1:O22"/>
  <sheetViews>
    <sheetView tabSelected="1" workbookViewId="0"/>
  </sheetViews>
  <sheetFormatPr defaultRowHeight="15"/>
  <cols>
    <col min="1" max="1" width="6.5" style="1289" customWidth="1"/>
    <col min="2" max="2" width="70.6640625" style="1289" customWidth="1"/>
    <col min="3" max="3" width="21.1640625" style="1289" bestFit="1" customWidth="1"/>
    <col min="4" max="5" width="23.1640625" style="1289" bestFit="1" customWidth="1"/>
    <col min="6" max="6" width="21.1640625" style="1289" bestFit="1" customWidth="1"/>
    <col min="7" max="7" width="21" style="1290" bestFit="1" customWidth="1"/>
    <col min="8" max="11" width="21" style="1289" bestFit="1" customWidth="1"/>
    <col min="12" max="16384" width="9.33203125" style="1289"/>
  </cols>
  <sheetData>
    <row r="1" spans="1:15" ht="15.75" thickBot="1"/>
    <row r="2" spans="1:15" s="1320" customFormat="1" ht="31.5">
      <c r="A2" s="1316"/>
      <c r="B2" s="1317"/>
      <c r="C2" s="1318" t="s">
        <v>1241</v>
      </c>
      <c r="D2" s="1318" t="s">
        <v>1240</v>
      </c>
      <c r="E2" s="1318" t="s">
        <v>1239</v>
      </c>
      <c r="F2" s="1318" t="s">
        <v>1238</v>
      </c>
      <c r="G2" s="1319" t="s">
        <v>1237</v>
      </c>
      <c r="H2" s="1319" t="s">
        <v>1250</v>
      </c>
      <c r="I2" s="1319" t="s">
        <v>1249</v>
      </c>
      <c r="J2" s="1319" t="s">
        <v>1251</v>
      </c>
      <c r="K2" s="1319" t="s">
        <v>1252</v>
      </c>
    </row>
    <row r="3" spans="1:15" s="1297" customFormat="1" ht="24.95" customHeight="1">
      <c r="A3" s="1304" t="s">
        <v>1236</v>
      </c>
      <c r="B3" s="1303" t="s">
        <v>1235</v>
      </c>
      <c r="C3" s="1312" t="s">
        <v>1234</v>
      </c>
      <c r="D3" s="1312" t="s">
        <v>1233</v>
      </c>
      <c r="E3" s="1312" t="s">
        <v>1232</v>
      </c>
      <c r="F3" s="1312" t="s">
        <v>1231</v>
      </c>
      <c r="G3" s="1298" t="s">
        <v>1230</v>
      </c>
      <c r="H3" s="1518"/>
      <c r="I3" s="1518"/>
      <c r="J3" s="1518"/>
      <c r="K3" s="1518"/>
      <c r="L3" s="1291"/>
      <c r="M3" s="1291"/>
      <c r="N3" s="1291"/>
      <c r="O3" s="1291"/>
    </row>
    <row r="4" spans="1:15" s="1297" customFormat="1" ht="63">
      <c r="A4" s="1304" t="s">
        <v>1229</v>
      </c>
      <c r="B4" s="1300" t="s">
        <v>1228</v>
      </c>
      <c r="C4" s="1312" t="s">
        <v>1227</v>
      </c>
      <c r="D4" s="1312" t="s">
        <v>1226</v>
      </c>
      <c r="E4" s="1312" t="s">
        <v>1225</v>
      </c>
      <c r="F4" s="1312" t="s">
        <v>1224</v>
      </c>
      <c r="G4" s="1298" t="s">
        <v>1223</v>
      </c>
      <c r="H4" s="1518"/>
      <c r="I4" s="1518"/>
      <c r="J4" s="1518"/>
      <c r="K4" s="1518"/>
      <c r="L4" s="1291"/>
      <c r="M4" s="1291"/>
      <c r="N4" s="1291"/>
      <c r="O4" s="1291"/>
    </row>
    <row r="5" spans="1:15" s="1297" customFormat="1" ht="24.95" customHeight="1">
      <c r="A5" s="1304" t="s">
        <v>1222</v>
      </c>
      <c r="B5" s="1305" t="s">
        <v>1221</v>
      </c>
      <c r="C5" s="1312" t="s">
        <v>277</v>
      </c>
      <c r="D5" s="1312" t="s">
        <v>1220</v>
      </c>
      <c r="E5" s="1312" t="s">
        <v>1219</v>
      </c>
      <c r="F5" s="1312" t="s">
        <v>277</v>
      </c>
      <c r="G5" s="1298" t="s">
        <v>1218</v>
      </c>
      <c r="H5" s="1518"/>
      <c r="I5" s="1518"/>
      <c r="J5" s="1518"/>
      <c r="K5" s="1518"/>
      <c r="L5" s="1291"/>
      <c r="M5" s="1291"/>
      <c r="N5" s="1291"/>
      <c r="O5" s="1291"/>
    </row>
    <row r="6" spans="1:15" s="1297" customFormat="1" ht="24.95" customHeight="1">
      <c r="A6" s="1304" t="s">
        <v>1217</v>
      </c>
      <c r="B6" s="1303" t="s">
        <v>1216</v>
      </c>
      <c r="C6" s="1312" t="s">
        <v>1215</v>
      </c>
      <c r="D6" s="1312" t="s">
        <v>1214</v>
      </c>
      <c r="E6" s="1312" t="s">
        <v>1213</v>
      </c>
      <c r="F6" s="1312" t="s">
        <v>1212</v>
      </c>
      <c r="G6" s="1298" t="s">
        <v>1211</v>
      </c>
      <c r="H6" s="1518"/>
      <c r="I6" s="1518"/>
      <c r="J6" s="1518"/>
      <c r="K6" s="1518"/>
      <c r="L6" s="1291"/>
      <c r="M6" s="1291"/>
      <c r="N6" s="1291"/>
      <c r="O6" s="1291"/>
    </row>
    <row r="7" spans="1:15" s="1297" customFormat="1" ht="24.95" customHeight="1">
      <c r="A7" s="1301" t="s">
        <v>1210</v>
      </c>
      <c r="B7" s="1302" t="s">
        <v>1209</v>
      </c>
      <c r="C7" s="1448" t="s">
        <v>1208</v>
      </c>
      <c r="D7" s="1312"/>
      <c r="E7" s="1448" t="s">
        <v>1207</v>
      </c>
      <c r="F7" s="1312" t="s">
        <v>1206</v>
      </c>
      <c r="G7" s="1298"/>
      <c r="H7" s="1518"/>
      <c r="I7" s="1518"/>
      <c r="J7" s="1518"/>
      <c r="K7" s="1518"/>
      <c r="L7" s="1291"/>
      <c r="M7" s="1291"/>
      <c r="N7" s="1291"/>
      <c r="O7" s="1291"/>
    </row>
    <row r="8" spans="1:15" s="1297" customFormat="1" ht="24.95" customHeight="1">
      <c r="A8" s="1301" t="s">
        <v>1205</v>
      </c>
      <c r="B8" s="1302" t="s">
        <v>1204</v>
      </c>
      <c r="C8" s="1449"/>
      <c r="D8" s="1312"/>
      <c r="E8" s="1449"/>
      <c r="F8" s="1312" t="s">
        <v>1203</v>
      </c>
      <c r="G8" s="1298"/>
      <c r="H8" s="1518"/>
      <c r="I8" s="1518"/>
      <c r="J8" s="1518"/>
      <c r="K8" s="1518"/>
      <c r="L8" s="1291"/>
      <c r="M8" s="1291"/>
      <c r="N8" s="1291"/>
      <c r="O8" s="1291"/>
    </row>
    <row r="9" spans="1:15" s="1297" customFormat="1" ht="24.95" customHeight="1">
      <c r="A9" s="1301" t="s">
        <v>1202</v>
      </c>
      <c r="B9" s="1302" t="s">
        <v>1201</v>
      </c>
      <c r="C9" s="1312" t="s">
        <v>1200</v>
      </c>
      <c r="D9" s="1312"/>
      <c r="E9" s="1312" t="s">
        <v>1199</v>
      </c>
      <c r="F9" s="1312" t="s">
        <v>1198</v>
      </c>
      <c r="G9" s="1298"/>
      <c r="H9" s="1518"/>
      <c r="I9" s="1518"/>
      <c r="J9" s="1518"/>
      <c r="K9" s="1518"/>
      <c r="L9" s="1291"/>
      <c r="M9" s="1291"/>
      <c r="N9" s="1291"/>
      <c r="O9" s="1291"/>
    </row>
    <row r="10" spans="1:15" s="1297" customFormat="1" ht="24.95" customHeight="1">
      <c r="A10" s="1301" t="s">
        <v>1197</v>
      </c>
      <c r="B10" s="1302" t="s">
        <v>1196</v>
      </c>
      <c r="C10" s="1448" t="s">
        <v>1191</v>
      </c>
      <c r="D10" s="1312"/>
      <c r="E10" s="1448" t="s">
        <v>1195</v>
      </c>
      <c r="F10" s="1312" t="s">
        <v>1194</v>
      </c>
      <c r="G10" s="1298"/>
      <c r="H10" s="1518"/>
      <c r="I10" s="1518"/>
      <c r="J10" s="1518"/>
      <c r="K10" s="1518"/>
      <c r="L10" s="1291"/>
      <c r="M10" s="1291"/>
      <c r="N10" s="1291"/>
      <c r="O10" s="1291"/>
    </row>
    <row r="11" spans="1:15" s="1297" customFormat="1" ht="24.95" customHeight="1">
      <c r="A11" s="1301" t="s">
        <v>1193</v>
      </c>
      <c r="B11" s="1302" t="s">
        <v>1192</v>
      </c>
      <c r="C11" s="1449"/>
      <c r="D11" s="1312"/>
      <c r="E11" s="1449"/>
      <c r="F11" s="1312" t="s">
        <v>1191</v>
      </c>
      <c r="G11" s="1298"/>
      <c r="H11" s="1518"/>
      <c r="I11" s="1518"/>
      <c r="J11" s="1518"/>
      <c r="K11" s="1518"/>
      <c r="L11" s="1291"/>
      <c r="M11" s="1291"/>
      <c r="N11" s="1291"/>
      <c r="O11" s="1291"/>
    </row>
    <row r="12" spans="1:15" s="1297" customFormat="1" ht="36" customHeight="1">
      <c r="A12" s="1301" t="s">
        <v>1190</v>
      </c>
      <c r="B12" s="1300" t="s">
        <v>1189</v>
      </c>
      <c r="C12" s="1312" t="s">
        <v>1188</v>
      </c>
      <c r="D12" s="1312"/>
      <c r="E12" s="1312" t="s">
        <v>1187</v>
      </c>
      <c r="F12" s="1312" t="s">
        <v>1186</v>
      </c>
      <c r="G12" s="1298"/>
      <c r="H12" s="1518"/>
      <c r="I12" s="1518"/>
      <c r="J12" s="1518"/>
      <c r="K12" s="1518"/>
      <c r="L12" s="1291"/>
      <c r="M12" s="1291"/>
      <c r="N12" s="1291"/>
      <c r="O12" s="1291"/>
    </row>
    <row r="13" spans="1:15" ht="36" customHeight="1" thickBot="1">
      <c r="A13" s="1296"/>
      <c r="B13" s="1295" t="s">
        <v>1185</v>
      </c>
      <c r="C13" s="1313" t="s">
        <v>1184</v>
      </c>
      <c r="D13" s="1314" t="s">
        <v>1183</v>
      </c>
      <c r="E13" s="1314" t="s">
        <v>1182</v>
      </c>
      <c r="F13" s="1313" t="s">
        <v>1181</v>
      </c>
      <c r="G13" s="1294" t="s">
        <v>1180</v>
      </c>
      <c r="H13" s="1315">
        <f>SUM(H3:H12)</f>
        <v>0</v>
      </c>
      <c r="I13" s="1315">
        <f t="shared" ref="I13:K13" si="0">SUM(I3:I12)</f>
        <v>0</v>
      </c>
      <c r="J13" s="1315">
        <f t="shared" si="0"/>
        <v>0</v>
      </c>
      <c r="K13" s="1315">
        <f t="shared" si="0"/>
        <v>0</v>
      </c>
    </row>
    <row r="15" spans="1:15" ht="15.75">
      <c r="A15" s="1291" t="s">
        <v>1179</v>
      </c>
      <c r="B15" s="1291" t="s">
        <v>16</v>
      </c>
    </row>
    <row r="16" spans="1:15" ht="15.75">
      <c r="A16" s="1292" t="s">
        <v>1178</v>
      </c>
      <c r="B16" s="1291" t="s">
        <v>1177</v>
      </c>
    </row>
    <row r="17" spans="1:2" ht="15.75">
      <c r="A17" s="1292" t="s">
        <v>1176</v>
      </c>
      <c r="B17" s="1291" t="s">
        <v>1175</v>
      </c>
    </row>
    <row r="18" spans="1:2" ht="15.75">
      <c r="A18" s="1293"/>
      <c r="B18" s="1291" t="s">
        <v>1174</v>
      </c>
    </row>
    <row r="19" spans="1:2" ht="15.75">
      <c r="A19" s="1292" t="s">
        <v>1173</v>
      </c>
      <c r="B19" s="1291" t="s">
        <v>1172</v>
      </c>
    </row>
    <row r="20" spans="1:2" ht="15.75">
      <c r="A20" s="1292" t="s">
        <v>1171</v>
      </c>
      <c r="B20" s="1291" t="s">
        <v>1170</v>
      </c>
    </row>
    <row r="21" spans="1:2" ht="15.75">
      <c r="A21" s="1292" t="s">
        <v>1169</v>
      </c>
      <c r="B21" s="1291" t="s">
        <v>1168</v>
      </c>
    </row>
    <row r="22" spans="1:2" ht="15.75">
      <c r="A22" s="1292" t="s">
        <v>1167</v>
      </c>
      <c r="B22" s="1291" t="s">
        <v>1166</v>
      </c>
    </row>
  </sheetData>
  <mergeCells count="4">
    <mergeCell ref="E10:E11"/>
    <mergeCell ref="E7:E8"/>
    <mergeCell ref="C7:C8"/>
    <mergeCell ref="C10:C11"/>
  </mergeCells>
  <pageMargins left="0.7" right="0.7" top="0.75" bottom="0.75" header="0.3" footer="0.3"/>
  <pageSetup scale="72" orientation="landscape" r:id="rId1"/>
  <headerFooter>
    <oddHeader>&amp;L&amp;"times,Bold"&amp;12
CSU Fee Estimates for P3 Financial Advisors</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364FD831C17F5F4FBDA8CCA1D8750A62" ma:contentTypeVersion="3" ma:contentTypeDescription="Create a new document." ma:contentTypeScope="" ma:versionID="d97f75adf75c528f5814a79b5b2b76e7">
  <xsd:schema xmlns:xsd="http://www.w3.org/2001/XMLSchema" xmlns:xs="http://www.w3.org/2001/XMLSchema" xmlns:p="http://schemas.microsoft.com/office/2006/metadata/properties" xmlns:ns1="http://schemas.microsoft.com/sharepoint/v3" xmlns:ns2="30355ef0-b855-4ebb-a92a-a6c79f7573fd" targetNamespace="http://schemas.microsoft.com/office/2006/metadata/properties" ma:root="true" ma:fieldsID="93666a9fa8e6f26f07a97bcd12991a47" ns1:_="" ns2:_="">
    <xsd:import namespace="http://schemas.microsoft.com/sharepoint/v3"/>
    <xsd:import namespace="30355ef0-b855-4ebb-a92a-a6c79f7573fd"/>
    <xsd:element name="properties">
      <xsd:complexType>
        <xsd:sequence>
          <xsd:element name="documentManagement">
            <xsd:complexType>
              <xsd:all>
                <xsd:element ref="ns2:_dlc_DocId" minOccurs="0"/>
                <xsd:element ref="ns2:_dlc_DocIdUrl" minOccurs="0"/>
                <xsd:element ref="ns2:_dlc_DocIdPersistId" minOccurs="0"/>
                <xsd:element ref="ns1:PublishingStartDate" minOccurs="0"/>
                <xsd:element ref="ns1:PublishingExpirationDate"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11"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12"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0355ef0-b855-4ebb-a92a-a6c79f7573fd"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3"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file>

<file path=customXml/item4.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5.xml><?xml version="1.0" encoding="utf-8"?>
<LongProperties xmlns="http://schemas.microsoft.com/office/2006/metadata/longProperties"/>
</file>

<file path=customXml/itemProps1.xml><?xml version="1.0" encoding="utf-8"?>
<ds:datastoreItem xmlns:ds="http://schemas.openxmlformats.org/officeDocument/2006/customXml" ds:itemID="{FB33E35F-DAC5-4775-B618-8988B2CBF858}">
  <ds:schemaRefs>
    <ds:schemaRef ds:uri="http://schemas.microsoft.com/sharepoint/v3/contenttype/forms"/>
  </ds:schemaRefs>
</ds:datastoreItem>
</file>

<file path=customXml/itemProps2.xml><?xml version="1.0" encoding="utf-8"?>
<ds:datastoreItem xmlns:ds="http://schemas.openxmlformats.org/officeDocument/2006/customXml" ds:itemID="{FD3CD398-BC79-46DA-9F92-69A6EA5E28E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30355ef0-b855-4ebb-a92a-a6c79f7573f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3F3F60D-833A-428A-9159-BAA60D80A4CF}">
  <ds:schemaRefs>
    <ds:schemaRef ds:uri="http://schemas.microsoft.com/sharepoint/events"/>
  </ds:schemaRefs>
</ds:datastoreItem>
</file>

<file path=customXml/itemProps4.xml><?xml version="1.0" encoding="utf-8"?>
<ds:datastoreItem xmlns:ds="http://schemas.openxmlformats.org/officeDocument/2006/customXml" ds:itemID="{3080888C-0316-496B-A9D5-8DD45FDA9319}">
  <ds:schemaRefs>
    <ds:schemaRef ds:uri="http://schemas.microsoft.com/office/2006/metadata/properties"/>
    <ds:schemaRef ds:uri="http://schemas.microsoft.com/office/infopath/2007/PartnerControls"/>
    <ds:schemaRef ds:uri="http://schemas.microsoft.com/sharepoint/v3"/>
  </ds:schemaRefs>
</ds:datastoreItem>
</file>

<file path=customXml/itemProps5.xml><?xml version="1.0" encoding="utf-8"?>
<ds:datastoreItem xmlns:ds="http://schemas.openxmlformats.org/officeDocument/2006/customXml" ds:itemID="{5CC68AD9-F509-4D58-AD22-677B4686A95E}">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67</vt:i4>
      </vt:variant>
    </vt:vector>
  </HeadingPairs>
  <TitlesOfParts>
    <vt:vector size="81" baseType="lpstr">
      <vt:lpstr>2-7</vt:lpstr>
      <vt:lpstr>USER INPUT</vt:lpstr>
      <vt:lpstr>Insurance (DBB)</vt:lpstr>
      <vt:lpstr>Insurance (DB)</vt:lpstr>
      <vt:lpstr>Insurance (Collaborative DB)</vt:lpstr>
      <vt:lpstr>Insurance (CM@R)</vt:lpstr>
      <vt:lpstr>INSURANCE</vt:lpstr>
      <vt:lpstr>2-8 SITE UTILITIES</vt:lpstr>
      <vt:lpstr>Financial</vt:lpstr>
      <vt:lpstr>Legal Fees</vt:lpstr>
      <vt:lpstr>FEE CALCS</vt:lpstr>
      <vt:lpstr>REFERENCE</vt:lpstr>
      <vt:lpstr>LEED v3</vt:lpstr>
      <vt:lpstr>INSTRUCTIONS</vt:lpstr>
      <vt:lpstr>_2013_14</vt:lpstr>
      <vt:lpstr>Architectural.Schedule.Types</vt:lpstr>
      <vt:lpstr>Campus_list</vt:lpstr>
      <vt:lpstr>Campus_Stats</vt:lpstr>
      <vt:lpstr>CCCI_2010</vt:lpstr>
      <vt:lpstr>CCCI_historic</vt:lpstr>
      <vt:lpstr>CCCId.NonState.Funded.Additional.Services</vt:lpstr>
      <vt:lpstr>CCCId.State.Funded.Additional.Services</vt:lpstr>
      <vt:lpstr>Contract_Fees</vt:lpstr>
      <vt:lpstr>Contractor_Fees</vt:lpstr>
      <vt:lpstr>CONTRACTOR_FEES_NC</vt:lpstr>
      <vt:lpstr>CSU_CAMPUSES</vt:lpstr>
      <vt:lpstr>DELIVERY</vt:lpstr>
      <vt:lpstr>DELIVERY_FEES_NC</vt:lpstr>
      <vt:lpstr>DELIVERY_METHOD</vt:lpstr>
      <vt:lpstr>Delivery_NC</vt:lpstr>
      <vt:lpstr>DELIVERY_TYPES</vt:lpstr>
      <vt:lpstr>DELIVERYFEES_NC</vt:lpstr>
      <vt:lpstr>DMETHODFEES_NC</vt:lpstr>
      <vt:lpstr>Energy_Usage</vt:lpstr>
      <vt:lpstr>Energy_Use</vt:lpstr>
      <vt:lpstr>FEES_Method</vt:lpstr>
      <vt:lpstr>FISCAL_YEAR</vt:lpstr>
      <vt:lpstr>Form.2.7</vt:lpstr>
      <vt:lpstr>FUND</vt:lpstr>
      <vt:lpstr>FUND_TYPE</vt:lpstr>
      <vt:lpstr>FUNDTYPE</vt:lpstr>
      <vt:lpstr>FY_2010</vt:lpstr>
      <vt:lpstr>HEAT_TYPES</vt:lpstr>
      <vt:lpstr>method_NC</vt:lpstr>
      <vt:lpstr>MILESTONE_PHASE</vt:lpstr>
      <vt:lpstr>MILESTONE_PHASES</vt:lpstr>
      <vt:lpstr>MILESTONEPHASES</vt:lpstr>
      <vt:lpstr>Milestones</vt:lpstr>
      <vt:lpstr>PHASES</vt:lpstr>
      <vt:lpstr>'2-7'!Print_Area</vt:lpstr>
      <vt:lpstr>'2-8 SITE UTILITIES'!Print_Area</vt:lpstr>
      <vt:lpstr>'FEE CALCS'!Print_Area</vt:lpstr>
      <vt:lpstr>INSTRUCTIONS!Print_Area</vt:lpstr>
      <vt:lpstr>INSURANCE!Print_Area</vt:lpstr>
      <vt:lpstr>'Insurance (CM@R)'!Print_Area</vt:lpstr>
      <vt:lpstr>'Insurance (Collaborative DB)'!Print_Area</vt:lpstr>
      <vt:lpstr>'Insurance (DB)'!Print_Area</vt:lpstr>
      <vt:lpstr>'Insurance (DBB)'!Print_Area</vt:lpstr>
      <vt:lpstr>'LEED v3'!Print_Area</vt:lpstr>
      <vt:lpstr>REFERENCE!Print_Area</vt:lpstr>
      <vt:lpstr>PROJ_TYPE</vt:lpstr>
      <vt:lpstr>PROJECT_TYPES</vt:lpstr>
      <vt:lpstr>'2-8 SITE UTILITIES'!SITE_UTILITY_PHASES</vt:lpstr>
      <vt:lpstr>SIte_utility_Phases</vt:lpstr>
      <vt:lpstr>SPACE_TYPE</vt:lpstr>
      <vt:lpstr>SPACE_TYPE_DATA</vt:lpstr>
      <vt:lpstr>SPACE_TYPE_UNIT</vt:lpstr>
      <vt:lpstr>SPACE_TYPE_UNIT_DATA</vt:lpstr>
      <vt:lpstr>spcl_consult</vt:lpstr>
      <vt:lpstr>SPECIALTY_CONSULTANT</vt:lpstr>
      <vt:lpstr>Specialty_Consultant_Perc</vt:lpstr>
      <vt:lpstr>Specialty_Consultant_Percent</vt:lpstr>
      <vt:lpstr>Specialty_Consultant_Percentage</vt:lpstr>
      <vt:lpstr>Util_AQMD</vt:lpstr>
      <vt:lpstr>Util_Cable_Medium</vt:lpstr>
      <vt:lpstr>UTIL_ELEC</vt:lpstr>
      <vt:lpstr>Util_Elec_Equip</vt:lpstr>
      <vt:lpstr>UTIL_GAS</vt:lpstr>
      <vt:lpstr>Util_Sewer</vt:lpstr>
      <vt:lpstr>Util_Storm</vt:lpstr>
      <vt:lpstr>Util_Water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Piper, Larry</dc:creator>
  <cp:keywords/>
  <dc:description/>
  <cp:lastModifiedBy>Smith, Meaghan</cp:lastModifiedBy>
  <cp:revision/>
  <dcterms:created xsi:type="dcterms:W3CDTF">2008-03-12T00:02:14Z</dcterms:created>
  <dcterms:modified xsi:type="dcterms:W3CDTF">2022-07-11T23:52:41Z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Document</vt:lpwstr>
  </property>
  <property fmtid="{D5CDD505-2E9C-101B-9397-08002B2CF9AE}" pid="3" name="ContentTypeId">
    <vt:lpwstr>0x010100364FD831C17F5F4FBDA8CCA1D8750A62</vt:lpwstr>
  </property>
</Properties>
</file>